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abio.marussich\Desktop\dotazione\PIAO 24 26\"/>
    </mc:Choice>
  </mc:AlternateContent>
  <bookViews>
    <workbookView xWindow="0" yWindow="0" windowWidth="28800" windowHeight="12435" tabRatio="911" activeTab="9"/>
  </bookViews>
  <sheets>
    <sheet name="Copertina" sheetId="1" r:id="rId1"/>
    <sheet name="Note alla compilazione" sheetId="2" r:id="rId2"/>
    <sheet name="app._aziende" sheetId="3" state="hidden" r:id="rId3"/>
    <sheet name="Medici_2024" sheetId="4" r:id="rId4"/>
    <sheet name="Altri profili_2024_" sheetId="5" r:id="rId5"/>
    <sheet name="Scheda_riepilogo_2024_" sheetId="6" r:id="rId6"/>
    <sheet name="Medici_2025" sheetId="7" r:id="rId7"/>
    <sheet name="Altri profili_2025_" sheetId="8" r:id="rId8"/>
    <sheet name="Scheda_riepilogo_2025_" sheetId="9" r:id="rId9"/>
    <sheet name="Medici_2026" sheetId="10" r:id="rId10"/>
    <sheet name="Altri profili_2026" sheetId="11" r:id="rId11"/>
    <sheet name="Scheda_riepilogo_2026" sheetId="12" r:id="rId12"/>
    <sheet name="Sintesi_Medici_2024-2026" sheetId="13" r:id="rId13"/>
    <sheet name="Sintesi_Altri profili_2024-2026" sheetId="14" r:id="rId14"/>
    <sheet name="Scheda_riepilogo_2024-2026_Dip" sheetId="15" r:id="rId15"/>
  </sheets>
  <externalReferences>
    <externalReference r:id="rId16"/>
  </externalReferences>
  <definedNames>
    <definedName name="_" localSheetId="0">{#N/A,#N/A,FALSE,"B1";#N/A,#N/A,FALSE,"B2";#N/A,#N/A,FALSE,"B3";#N/A,#N/A,FALSE,"A4";#N/A,#N/A,FALSE,"A3";#N/A,#N/A,FALSE,"A2";#N/A,#N/A,FALSE,"A1";#N/A,#N/A,FALSE,"Indice"}</definedName>
    <definedName name="_" localSheetId="1">{#N/A,#N/A,FALSE,"B1";#N/A,#N/A,FALSE,"B2";#N/A,#N/A,FALSE,"B3";#N/A,#N/A,FALSE,"A4";#N/A,#N/A,FALSE,"A3";#N/A,#N/A,FALSE,"A2";#N/A,#N/A,FALSE,"A1";#N/A,#N/A,FALSE,"Indice"}</definedName>
    <definedName name="_">{#N/A,#N/A,FALSE,"B1";#N/A,#N/A,FALSE,"B2";#N/A,#N/A,FALSE,"B3";#N/A,#N/A,FALSE,"A4";#N/A,#N/A,FALSE,"A3";#N/A,#N/A,FALSE,"A2";#N/A,#N/A,FALSE,"A1";#N/A,#N/A,FALSE,"Indice"}</definedName>
    <definedName name="aa" localSheetId="0">{#N/A,#N/A,TRUE,"Proposal";#N/A,#N/A,TRUE,"Assumptions";#N/A,#N/A,TRUE,"Net Income";#N/A,#N/A,TRUE,"Balsheet";#N/A,#N/A,TRUE,"Capex";#N/A,#N/A,TRUE,"Volumes";#N/A,#N/A,TRUE,"Revenues";#N/A,#N/A,TRUE,"Var.Costs";#N/A,#N/A,TRUE,"Personnel";#N/A,#N/A,TRUE,"Other costs";#N/A,#N/A,TRUE,"MKTG and G&amp;A"}</definedName>
    <definedName name="aa" localSheetId="1">{#N/A,#N/A,TRUE,"Proposal";#N/A,#N/A,TRUE,"Assumptions";#N/A,#N/A,TRUE,"Net Income";#N/A,#N/A,TRUE,"Balsheet";#N/A,#N/A,TRUE,"Capex";#N/A,#N/A,TRUE,"Volumes";#N/A,#N/A,TRUE,"Revenues";#N/A,#N/A,TRUE,"Var.Costs";#N/A,#N/A,TRUE,"Personnel";#N/A,#N/A,TRUE,"Other costs";#N/A,#N/A,TRUE,"MKTG and G&amp;A"}</definedName>
    <definedName name="aa">{#N/A,#N/A,TRUE,"Proposal";#N/A,#N/A,TRUE,"Assumptions";#N/A,#N/A,TRUE,"Net Income";#N/A,#N/A,TRUE,"Balsheet";#N/A,#N/A,TRUE,"Capex";#N/A,#N/A,TRUE,"Volumes";#N/A,#N/A,TRUE,"Revenues";#N/A,#N/A,TRUE,"Var.Costs";#N/A,#N/A,TRUE,"Personnel";#N/A,#N/A,TRUE,"Other costs";#N/A,#N/A,TRUE,"MKTG and G&amp;A"}</definedName>
    <definedName name="aaaaaaaa" localSheetId="0">{#N/A,#N/A,TRUE,"Proposal";#N/A,#N/A,TRUE,"Assumptions";#N/A,#N/A,TRUE,"Net Income";#N/A,#N/A,TRUE,"Balsheet";#N/A,#N/A,TRUE,"Capex";#N/A,#N/A,TRUE,"Volumes";#N/A,#N/A,TRUE,"Revenues";#N/A,#N/A,TRUE,"Var.Costs";#N/A,#N/A,TRUE,"Personnel";#N/A,#N/A,TRUE,"Other costs";#N/A,#N/A,TRUE,"MKTG and G&amp;A"}</definedName>
    <definedName name="aaaaaaaa" localSheetId="1">{#N/A,#N/A,TRUE,"Proposal";#N/A,#N/A,TRUE,"Assumptions";#N/A,#N/A,TRUE,"Net Income";#N/A,#N/A,TRUE,"Balsheet";#N/A,#N/A,TRUE,"Capex";#N/A,#N/A,TRUE,"Volumes";#N/A,#N/A,TRUE,"Revenues";#N/A,#N/A,TRUE,"Var.Costs";#N/A,#N/A,TRUE,"Personnel";#N/A,#N/A,TRUE,"Other costs";#N/A,#N/A,TRUE,"MKTG and G&amp;A"}</definedName>
    <definedName name="aaaaaaaa">{#N/A,#N/A,TRUE,"Proposal";#N/A,#N/A,TRUE,"Assumptions";#N/A,#N/A,TRUE,"Net Income";#N/A,#N/A,TRUE,"Balsheet";#N/A,#N/A,TRUE,"Capex";#N/A,#N/A,TRUE,"Volumes";#N/A,#N/A,TRUE,"Revenues";#N/A,#N/A,TRUE,"Var.Costs";#N/A,#N/A,TRUE,"Personnel";#N/A,#N/A,TRUE,"Other costs";#N/A,#N/A,TRUE,"MKTG and G&amp;A"}</definedName>
    <definedName name="amama" localSheetId="0">{#N/A,#N/A,FALSE,"B3";#N/A,#N/A,FALSE,"B2";#N/A,#N/A,FALSE,"B1"}</definedName>
    <definedName name="amama" localSheetId="1">{#N/A,#N/A,FALSE,"B3";#N/A,#N/A,FALSE,"B2";#N/A,#N/A,FALSE,"B1"}</definedName>
    <definedName name="amama">{#N/A,#N/A,FALSE,"B3";#N/A,#N/A,FALSE,"B2";#N/A,#N/A,FALSE,"B1"}</definedName>
    <definedName name="_xlnm.Print_Area" localSheetId="4">'Altri profili_2024_'!$A$2:$M$79</definedName>
    <definedName name="_xlnm.Print_Area" localSheetId="7">'Altri profili_2025_'!$A$2:$K$79</definedName>
    <definedName name="_xlnm.Print_Area" localSheetId="10">'Altri profili_2026'!$A$2:$O$79</definedName>
    <definedName name="_xlnm.Print_Area" localSheetId="0">Copertina!$A$1:$R$74</definedName>
    <definedName name="_xlnm.Print_Area" localSheetId="3">Medici_2024!$A$2:$L$95</definedName>
    <definedName name="_xlnm.Print_Area" localSheetId="6">Medici_2025!$A$2:$K$97</definedName>
    <definedName name="_xlnm.Print_Area" localSheetId="9">Medici_2026!$A$2:$N$109</definedName>
    <definedName name="_xlnm.Print_Area" localSheetId="1">'Note alla compilazione'!$A$1:$A$12</definedName>
    <definedName name="_xlnm.Print_Area" localSheetId="5">Scheda_riepilogo_2024_!$C$2:$F$22</definedName>
    <definedName name="_xlnm.Print_Area" localSheetId="14">'Scheda_riepilogo_2024-2026_Dip'!$C$1:$L$22</definedName>
    <definedName name="_xlnm.Print_Area" localSheetId="8">Scheda_riepilogo_2025_!$C$2:$F$22</definedName>
    <definedName name="_xlnm.Print_Area" localSheetId="11">Scheda_riepilogo_2026!$C$2:$F$22</definedName>
    <definedName name="_xlnm.Print_Area" localSheetId="13">'Sintesi_Altri profili_2024-2026'!$A$2:$N$79</definedName>
    <definedName name="_xlnm.Print_Area" localSheetId="12">'Sintesi_Medici_2024-2026'!$A$2:$N$109</definedName>
    <definedName name="azienda" localSheetId="14">#REF!</definedName>
    <definedName name="azienda" localSheetId="8">#REF!</definedName>
    <definedName name="azienda" localSheetId="11">#REF!</definedName>
    <definedName name="azienda">#REF!</definedName>
    <definedName name="aziende">app._aziende!$B$1:$B$19</definedName>
    <definedName name="Base_PPT" localSheetId="1">[1]bloomberg!#REF!</definedName>
    <definedName name="Base_PPT" localSheetId="14">[1]bloomberg!#REF!</definedName>
    <definedName name="Base_PPT" localSheetId="8">[1]bloomberg!#REF!</definedName>
    <definedName name="Base_PPT" localSheetId="11">[1]bloomberg!#REF!</definedName>
    <definedName name="Base_PPT">[1]bloomberg!#REF!</definedName>
    <definedName name="bg" localSheetId="0">{#N/A,#N/A,FALSE,"A4";#N/A,#N/A,FALSE,"A3";#N/A,#N/A,FALSE,"A2";#N/A,#N/A,FALSE,"A1"}</definedName>
    <definedName name="bg" localSheetId="1">{#N/A,#N/A,FALSE,"A4";#N/A,#N/A,FALSE,"A3";#N/A,#N/A,FALSE,"A2";#N/A,#N/A,FALSE,"A1"}</definedName>
    <definedName name="bg">{#N/A,#N/A,FALSE,"A4";#N/A,#N/A,FALSE,"A3";#N/A,#N/A,FALSE,"A2";#N/A,#N/A,FALSE,"A1"}</definedName>
    <definedName name="BLPB1" localSheetId="4">[1]bloomberg!#REF!</definedName>
    <definedName name="BLPB1" localSheetId="7">[1]bloomberg!#REF!</definedName>
    <definedName name="BLPB1" localSheetId="10">[1]bloomberg!#REF!</definedName>
    <definedName name="BLPB1" localSheetId="0">[1]bloomberg!#REF!</definedName>
    <definedName name="BLPB1" localSheetId="3">[1]bloomberg!#REF!</definedName>
    <definedName name="BLPB1" localSheetId="6">[1]bloomberg!#REF!</definedName>
    <definedName name="BLPB1" localSheetId="9">[1]bloomberg!#REF!</definedName>
    <definedName name="BLPB1" localSheetId="1">[1]bloomberg!#REF!</definedName>
    <definedName name="BLPB1" localSheetId="14">[1]bloomberg!#REF!</definedName>
    <definedName name="BLPB1" localSheetId="8">[1]bloomberg!#REF!</definedName>
    <definedName name="BLPB1" localSheetId="11">[1]bloomberg!#REF!</definedName>
    <definedName name="BLPB1" localSheetId="13">[1]bloomberg!#REF!</definedName>
    <definedName name="BLPB1" localSheetId="12">[1]bloomberg!#REF!</definedName>
    <definedName name="BLPB1">[1]bloomberg!#REF!</definedName>
    <definedName name="bnmbm" localSheetId="0">{#N/A,#N/A,TRUE,"Main Issues";#N/A,#N/A,TRUE,"Income statement ($)"}</definedName>
    <definedName name="bnmbm" localSheetId="1">{#N/A,#N/A,TRUE,"Main Issues";#N/A,#N/A,TRUE,"Income statement ($)"}</definedName>
    <definedName name="bnmbm">{#N/A,#N/A,TRUE,"Main Issues";#N/A,#N/A,TRUE,"Income statement ($)"}</definedName>
    <definedName name="cd" localSheetId="0">{#N/A,#N/A,FALSE,"Indice"}</definedName>
    <definedName name="cd" localSheetId="1">{#N/A,#N/A,FALSE,"Indice"}</definedName>
    <definedName name="cd">{#N/A,#N/A,FALSE,"Indice"}</definedName>
    <definedName name="cer" localSheetId="0">{#N/A,#N/A,FALSE,"B1";#N/A,#N/A,FALSE,"B2";#N/A,#N/A,FALSE,"B3";#N/A,#N/A,FALSE,"A4";#N/A,#N/A,FALSE,"A3";#N/A,#N/A,FALSE,"A2";#N/A,#N/A,FALSE,"A1";#N/A,#N/A,FALSE,"Indice"}</definedName>
    <definedName name="cer" localSheetId="1">{#N/A,#N/A,FALSE,"B1";#N/A,#N/A,FALSE,"B2";#N/A,#N/A,FALSE,"B3";#N/A,#N/A,FALSE,"A4";#N/A,#N/A,FALSE,"A3";#N/A,#N/A,FALSE,"A2";#N/A,#N/A,FALSE,"A1";#N/A,#N/A,FALSE,"Indice"}</definedName>
    <definedName name="cer">{#N/A,#N/A,FALSE,"B1";#N/A,#N/A,FALSE,"B2";#N/A,#N/A,FALSE,"B3";#N/A,#N/A,FALSE,"A4";#N/A,#N/A,FALSE,"A3";#N/A,#N/A,FALSE,"A2";#N/A,#N/A,FALSE,"A1";#N/A,#N/A,FALSE,"Indice"}</definedName>
    <definedName name="cerd" localSheetId="0">{#N/A,#N/A,FALSE,"B3";#N/A,#N/A,FALSE,"B2";#N/A,#N/A,FALSE,"B1"}</definedName>
    <definedName name="cerd" localSheetId="1">{#N/A,#N/A,FALSE,"B3";#N/A,#N/A,FALSE,"B2";#N/A,#N/A,FALSE,"B1"}</definedName>
    <definedName name="cerd">{#N/A,#N/A,FALSE,"B3";#N/A,#N/A,FALSE,"B2";#N/A,#N/A,FALSE,"B1"}</definedName>
    <definedName name="cerdo" localSheetId="0">{#N/A,#N/A,FALSE,"B3";#N/A,#N/A,FALSE,"B2";#N/A,#N/A,FALSE,"B1"}</definedName>
    <definedName name="cerdo" localSheetId="1">{#N/A,#N/A,FALSE,"B3";#N/A,#N/A,FALSE,"B2";#N/A,#N/A,FALSE,"B1"}</definedName>
    <definedName name="cerdo">{#N/A,#N/A,FALSE,"B3";#N/A,#N/A,FALSE,"B2";#N/A,#N/A,FALSE,"B1"}</definedName>
    <definedName name="cersa" localSheetId="0">{#N/A,#N/A,FALSE,"B1";#N/A,#N/A,FALSE,"B2";#N/A,#N/A,FALSE,"B3";#N/A,#N/A,FALSE,"A4";#N/A,#N/A,FALSE,"A3";#N/A,#N/A,FALSE,"A2";#N/A,#N/A,FALSE,"A1";#N/A,#N/A,FALSE,"Indice"}</definedName>
    <definedName name="cersa" localSheetId="1">{#N/A,#N/A,FALSE,"B1";#N/A,#N/A,FALSE,"B2";#N/A,#N/A,FALSE,"B3";#N/A,#N/A,FALSE,"A4";#N/A,#N/A,FALSE,"A3";#N/A,#N/A,FALSE,"A2";#N/A,#N/A,FALSE,"A1";#N/A,#N/A,FALSE,"Indice"}</definedName>
    <definedName name="cersa">{#N/A,#N/A,FALSE,"B1";#N/A,#N/A,FALSE,"B2";#N/A,#N/A,FALSE,"B3";#N/A,#N/A,FALSE,"A4";#N/A,#N/A,FALSE,"A3";#N/A,#N/A,FALSE,"A2";#N/A,#N/A,FALSE,"A1";#N/A,#N/A,FALSE,"Indice"}</definedName>
    <definedName name="cesa" localSheetId="0">{#N/A,#N/A,FALSE,"B1";#N/A,#N/A,FALSE,"B2";#N/A,#N/A,FALSE,"B3";#N/A,#N/A,FALSE,"A4";#N/A,#N/A,FALSE,"A3";#N/A,#N/A,FALSE,"A2";#N/A,#N/A,FALSE,"A1";#N/A,#N/A,FALSE,"Indice"}</definedName>
    <definedName name="cesa" localSheetId="1">{#N/A,#N/A,FALSE,"B1";#N/A,#N/A,FALSE,"B2";#N/A,#N/A,FALSE,"B3";#N/A,#N/A,FALSE,"A4";#N/A,#N/A,FALSE,"A3";#N/A,#N/A,FALSE,"A2";#N/A,#N/A,FALSE,"A1";#N/A,#N/A,FALSE,"Indice"}</definedName>
    <definedName name="cesa">{#N/A,#N/A,FALSE,"B1";#N/A,#N/A,FALSE,"B2";#N/A,#N/A,FALSE,"B3";#N/A,#N/A,FALSE,"A4";#N/A,#N/A,FALSE,"A3";#N/A,#N/A,FALSE,"A2";#N/A,#N/A,FALSE,"A1";#N/A,#N/A,FALSE,"Indice"}</definedName>
    <definedName name="costola" localSheetId="0">{#N/A,#N/A,FALSE,"Indice"}</definedName>
    <definedName name="costola" localSheetId="1">{#N/A,#N/A,FALSE,"Indice"}</definedName>
    <definedName name="costola">{#N/A,#N/A,FALSE,"Indice"}</definedName>
    <definedName name="coto" localSheetId="0">{#N/A,#N/A,FALSE,"B1";#N/A,#N/A,FALSE,"B2";#N/A,#N/A,FALSE,"B3";#N/A,#N/A,FALSE,"A4";#N/A,#N/A,FALSE,"A3";#N/A,#N/A,FALSE,"A2";#N/A,#N/A,FALSE,"A1";#N/A,#N/A,FALSE,"Indice"}</definedName>
    <definedName name="coto" localSheetId="1">{#N/A,#N/A,FALSE,"B1";#N/A,#N/A,FALSE,"B2";#N/A,#N/A,FALSE,"B3";#N/A,#N/A,FALSE,"A4";#N/A,#N/A,FALSE,"A3";#N/A,#N/A,FALSE,"A2";#N/A,#N/A,FALSE,"A1";#N/A,#N/A,FALSE,"Indice"}</definedName>
    <definedName name="coto">{#N/A,#N/A,FALSE,"B1";#N/A,#N/A,FALSE,"B2";#N/A,#N/A,FALSE,"B3";#N/A,#N/A,FALSE,"A4";#N/A,#N/A,FALSE,"A3";#N/A,#N/A,FALSE,"A2";#N/A,#N/A,FALSE,"A1";#N/A,#N/A,FALSE,"Indice"}</definedName>
    <definedName name="cv" localSheetId="0">{#N/A,#N/A,FALSE,"Indice"}</definedName>
    <definedName name="cv" localSheetId="1">{#N/A,#N/A,FALSE,"Indice"}</definedName>
    <definedName name="cv">{#N/A,#N/A,FALSE,"Indice"}</definedName>
    <definedName name="de" localSheetId="0">{#N/A,#N/A,FALSE,"B3";#N/A,#N/A,FALSE,"B2";#N/A,#N/A,FALSE,"B1"}</definedName>
    <definedName name="de" localSheetId="1">{#N/A,#N/A,FALSE,"B3";#N/A,#N/A,FALSE,"B2";#N/A,#N/A,FALSE,"B1"}</definedName>
    <definedName name="de">{#N/A,#N/A,FALSE,"B3";#N/A,#N/A,FALSE,"B2";#N/A,#N/A,FALSE,"B1"}</definedName>
    <definedName name="derto" localSheetId="0">{#N/A,#N/A,FALSE,"B3";#N/A,#N/A,FALSE,"B2";#N/A,#N/A,FALSE,"B1"}</definedName>
    <definedName name="derto" localSheetId="1">{#N/A,#N/A,FALSE,"B3";#N/A,#N/A,FALSE,"B2";#N/A,#N/A,FALSE,"B1"}</definedName>
    <definedName name="derto">{#N/A,#N/A,FALSE,"B3";#N/A,#N/A,FALSE,"B2";#N/A,#N/A,FALSE,"B1"}</definedName>
    <definedName name="dsa" localSheetId="0">{#N/A,#N/A,FALSE,"B3";#N/A,#N/A,FALSE,"B2";#N/A,#N/A,FALSE,"B1"}</definedName>
    <definedName name="dsa" localSheetId="1">{#N/A,#N/A,FALSE,"B3";#N/A,#N/A,FALSE,"B2";#N/A,#N/A,FALSE,"B1"}</definedName>
    <definedName name="dsa">{#N/A,#N/A,FALSE,"B3";#N/A,#N/A,FALSE,"B2";#N/A,#N/A,FALSE,"B1"}</definedName>
    <definedName name="ewq" localSheetId="0">{#N/A,#N/A,FALSE,"B1";#N/A,#N/A,FALSE,"B2";#N/A,#N/A,FALSE,"B3";#N/A,#N/A,FALSE,"A4";#N/A,#N/A,FALSE,"A3";#N/A,#N/A,FALSE,"A2";#N/A,#N/A,FALSE,"A1";#N/A,#N/A,FALSE,"Indice"}</definedName>
    <definedName name="ewq" localSheetId="1">{#N/A,#N/A,FALSE,"B1";#N/A,#N/A,FALSE,"B2";#N/A,#N/A,FALSE,"B3";#N/A,#N/A,FALSE,"A4";#N/A,#N/A,FALSE,"A3";#N/A,#N/A,FALSE,"A2";#N/A,#N/A,FALSE,"A1";#N/A,#N/A,FALSE,"Indice"}</definedName>
    <definedName name="ewq">{#N/A,#N/A,FALSE,"B1";#N/A,#N/A,FALSE,"B2";#N/A,#N/A,FALSE,"B3";#N/A,#N/A,FALSE,"A4";#N/A,#N/A,FALSE,"A3";#N/A,#N/A,FALSE,"A2";#N/A,#N/A,FALSE,"A1";#N/A,#N/A,FALSE,"Indice"}</definedName>
    <definedName name="fert" localSheetId="0">{#N/A,#N/A,FALSE,"A4";#N/A,#N/A,FALSE,"A3";#N/A,#N/A,FALSE,"A2";#N/A,#N/A,FALSE,"A1"}</definedName>
    <definedName name="fert" localSheetId="1">{#N/A,#N/A,FALSE,"A4";#N/A,#N/A,FALSE,"A3";#N/A,#N/A,FALSE,"A2";#N/A,#N/A,FALSE,"A1"}</definedName>
    <definedName name="fert">{#N/A,#N/A,FALSE,"A4";#N/A,#N/A,FALSE,"A3";#N/A,#N/A,FALSE,"A2";#N/A,#N/A,FALSE,"A1"}</definedName>
    <definedName name="fr" localSheetId="0">{#N/A,#N/A,FALSE,"Indice"}</definedName>
    <definedName name="fr" localSheetId="1">{#N/A,#N/A,FALSE,"Indice"}</definedName>
    <definedName name="fr">{#N/A,#N/A,FALSE,"Indice"}</definedName>
    <definedName name="ger" localSheetId="0">{#N/A,#N/A,FALSE,"Indice"}</definedName>
    <definedName name="ger" localSheetId="1">{#N/A,#N/A,FALSE,"Indice"}</definedName>
    <definedName name="ger">{#N/A,#N/A,FALSE,"Indice"}</definedName>
    <definedName name="gerc" localSheetId="0">{#N/A,#N/A,FALSE,"Indice"}</definedName>
    <definedName name="gerc" localSheetId="1">{#N/A,#N/A,FALSE,"Indice"}</definedName>
    <definedName name="gerc">{#N/A,#N/A,FALSE,"Indice"}</definedName>
    <definedName name="germo" localSheetId="0">{#N/A,#N/A,FALSE,"Indice"}</definedName>
    <definedName name="germo" localSheetId="1">{#N/A,#N/A,FALSE,"Indice"}</definedName>
    <definedName name="germo">{#N/A,#N/A,FALSE,"Indice"}</definedName>
    <definedName name="gino" localSheetId="0">{#N/A,#N/A,FALSE,"Indice"}</definedName>
    <definedName name="gino" localSheetId="1">{#N/A,#N/A,FALSE,"Indice"}</definedName>
    <definedName name="gino">{#N/A,#N/A,FALSE,"Indice"}</definedName>
    <definedName name="hiu" localSheetId="0">{#N/A,#N/A,FALSE,"Indice"}</definedName>
    <definedName name="hiu" localSheetId="1">{#N/A,#N/A,FALSE,"Indice"}</definedName>
    <definedName name="hiu">{#N/A,#N/A,FALSE,"Indice"}</definedName>
    <definedName name="io" localSheetId="0">{#N/A,#N/A,FALSE,"Indice"}</definedName>
    <definedName name="io" localSheetId="1">{#N/A,#N/A,FALSE,"Indice"}</definedName>
    <definedName name="io">{#N/A,#N/A,FALSE,"Indice"}</definedName>
    <definedName name="iou" localSheetId="0">{#N/A,#N/A,FALSE,"B3";#N/A,#N/A,FALSE,"B2";#N/A,#N/A,FALSE,"B1"}</definedName>
    <definedName name="iou" localSheetId="1">{#N/A,#N/A,FALSE,"B3";#N/A,#N/A,FALSE,"B2";#N/A,#N/A,FALSE,"B1"}</definedName>
    <definedName name="iou">{#N/A,#N/A,FALSE,"B3";#N/A,#N/A,FALSE,"B2";#N/A,#N/A,FALSE,"B1"}</definedName>
    <definedName name="jh" localSheetId="0">{#N/A,#N/A,FALSE,"B1";#N/A,#N/A,FALSE,"B2";#N/A,#N/A,FALSE,"B3";#N/A,#N/A,FALSE,"A4";#N/A,#N/A,FALSE,"A3";#N/A,#N/A,FALSE,"A2";#N/A,#N/A,FALSE,"A1";#N/A,#N/A,FALSE,"Indice"}</definedName>
    <definedName name="jh" localSheetId="1">{#N/A,#N/A,FALSE,"B1";#N/A,#N/A,FALSE,"B2";#N/A,#N/A,FALSE,"B3";#N/A,#N/A,FALSE,"A4";#N/A,#N/A,FALSE,"A3";#N/A,#N/A,FALSE,"A2";#N/A,#N/A,FALSE,"A1";#N/A,#N/A,FALSE,"Indice"}</definedName>
    <definedName name="jh">{#N/A,#N/A,FALSE,"B1";#N/A,#N/A,FALSE,"B2";#N/A,#N/A,FALSE,"B3";#N/A,#N/A,FALSE,"A4";#N/A,#N/A,FALSE,"A3";#N/A,#N/A,FALSE,"A2";#N/A,#N/A,FALSE,"A1";#N/A,#N/A,FALSE,"Indice"}</definedName>
    <definedName name="ki" localSheetId="0">{#N/A,#N/A,FALSE,"Indice"}</definedName>
    <definedName name="ki" localSheetId="1">{#N/A,#N/A,FALSE,"Indice"}</definedName>
    <definedName name="ki">{#N/A,#N/A,FALSE,"Indice"}</definedName>
    <definedName name="kl" localSheetId="0">{#N/A,#N/A,FALSE,"B1";#N/A,#N/A,FALSE,"B2";#N/A,#N/A,FALSE,"B3";#N/A,#N/A,FALSE,"A4";#N/A,#N/A,FALSE,"A3";#N/A,#N/A,FALSE,"A2";#N/A,#N/A,FALSE,"A1";#N/A,#N/A,FALSE,"Indice"}</definedName>
    <definedName name="kl" localSheetId="1">{#N/A,#N/A,FALSE,"B1";#N/A,#N/A,FALSE,"B2";#N/A,#N/A,FALSE,"B3";#N/A,#N/A,FALSE,"A4";#N/A,#N/A,FALSE,"A3";#N/A,#N/A,FALSE,"A2";#N/A,#N/A,FALSE,"A1";#N/A,#N/A,FALSE,"Indice"}</definedName>
    <definedName name="kl">{#N/A,#N/A,FALSE,"B1";#N/A,#N/A,FALSE,"B2";#N/A,#N/A,FALSE,"B3";#N/A,#N/A,FALSE,"A4";#N/A,#N/A,FALSE,"A3";#N/A,#N/A,FALSE,"A2";#N/A,#N/A,FALSE,"A1";#N/A,#N/A,FALSE,"Indice"}</definedName>
    <definedName name="kloi" localSheetId="0">{#N/A,#N/A,FALSE,"A4";#N/A,#N/A,FALSE,"A3";#N/A,#N/A,FALSE,"A2";#N/A,#N/A,FALSE,"A1"}</definedName>
    <definedName name="kloi" localSheetId="1">{#N/A,#N/A,FALSE,"A4";#N/A,#N/A,FALSE,"A3";#N/A,#N/A,FALSE,"A2";#N/A,#N/A,FALSE,"A1"}</definedName>
    <definedName name="kloi">{#N/A,#N/A,FALSE,"A4";#N/A,#N/A,FALSE,"A3";#N/A,#N/A,FALSE,"A2";#N/A,#N/A,FALSE,"A1"}</definedName>
    <definedName name="li" localSheetId="0">{#N/A,#N/A,FALSE,"A4";#N/A,#N/A,FALSE,"A3";#N/A,#N/A,FALSE,"A2";#N/A,#N/A,FALSE,"A1"}</definedName>
    <definedName name="li" localSheetId="1">{#N/A,#N/A,FALSE,"A4";#N/A,#N/A,FALSE,"A3";#N/A,#N/A,FALSE,"A2";#N/A,#N/A,FALSE,"A1"}</definedName>
    <definedName name="li">{#N/A,#N/A,FALSE,"A4";#N/A,#N/A,FALSE,"A3";#N/A,#N/A,FALSE,"A2";#N/A,#N/A,FALSE,"A1"}</definedName>
    <definedName name="LIU" localSheetId="0">{#N/A,#N/A,FALSE,"A4";#N/A,#N/A,FALSE,"A3";#N/A,#N/A,FALSE,"A2";#N/A,#N/A,FALSE,"A1"}</definedName>
    <definedName name="LIU" localSheetId="1">{#N/A,#N/A,FALSE,"A4";#N/A,#N/A,FALSE,"A3";#N/A,#N/A,FALSE,"A2";#N/A,#N/A,FALSE,"A1"}</definedName>
    <definedName name="LIU">{#N/A,#N/A,FALSE,"A4";#N/A,#N/A,FALSE,"A3";#N/A,#N/A,FALSE,"A2";#N/A,#N/A,FALSE,"A1"}</definedName>
    <definedName name="lkjh" localSheetId="0">{#N/A,#N/A,FALSE,"Indice"}</definedName>
    <definedName name="lkjh" localSheetId="1">{#N/A,#N/A,FALSE,"Indice"}</definedName>
    <definedName name="lkjh">{#N/A,#N/A,FALSE,"Indice"}</definedName>
    <definedName name="lo" localSheetId="0">{#N/A,#N/A,FALSE,"B3";#N/A,#N/A,FALSE,"B2";#N/A,#N/A,FALSE,"B1"}</definedName>
    <definedName name="lo" localSheetId="1">{#N/A,#N/A,FALSE,"B3";#N/A,#N/A,FALSE,"B2";#N/A,#N/A,FALSE,"B1"}</definedName>
    <definedName name="lo">{#N/A,#N/A,FALSE,"B3";#N/A,#N/A,FALSE,"B2";#N/A,#N/A,FALSE,"B1"}</definedName>
    <definedName name="ly" localSheetId="0">{#N/A,#N/A,FALSE,"B1";#N/A,#N/A,FALSE,"B2";#N/A,#N/A,FALSE,"B3";#N/A,#N/A,FALSE,"A4";#N/A,#N/A,FALSE,"A3";#N/A,#N/A,FALSE,"A2";#N/A,#N/A,FALSE,"A1";#N/A,#N/A,FALSE,"Indice"}</definedName>
    <definedName name="ly" localSheetId="1">{#N/A,#N/A,FALSE,"B1";#N/A,#N/A,FALSE,"B2";#N/A,#N/A,FALSE,"B3";#N/A,#N/A,FALSE,"A4";#N/A,#N/A,FALSE,"A3";#N/A,#N/A,FALSE,"A2";#N/A,#N/A,FALSE,"A1";#N/A,#N/A,FALSE,"Indice"}</definedName>
    <definedName name="ly">{#N/A,#N/A,FALSE,"B1";#N/A,#N/A,FALSE,"B2";#N/A,#N/A,FALSE,"B3";#N/A,#N/A,FALSE,"A4";#N/A,#N/A,FALSE,"A3";#N/A,#N/A,FALSE,"A2";#N/A,#N/A,FALSE,"A1";#N/A,#N/A,FALSE,"Indice"}</definedName>
    <definedName name="marco" localSheetId="0">{#N/A,#N/A,FALSE,"Indice"}</definedName>
    <definedName name="marco" localSheetId="1">{#N/A,#N/A,FALSE,"Indice"}</definedName>
    <definedName name="marco">{#N/A,#N/A,FALSE,"Indice"}</definedName>
    <definedName name="MATT" localSheetId="0">{#N/A,#N/A,TRUE,"Main Issues";#N/A,#N/A,TRUE,"Income statement ($)"}</definedName>
    <definedName name="MATT" localSheetId="1">{#N/A,#N/A,TRUE,"Main Issues";#N/A,#N/A,TRUE,"Income statement ($)"}</definedName>
    <definedName name="MATT">{#N/A,#N/A,TRUE,"Main Issues";#N/A,#N/A,TRUE,"Income statement ($)"}</definedName>
    <definedName name="min" localSheetId="0">{#N/A,#N/A,FALSE,"B1";#N/A,#N/A,FALSE,"B2";#N/A,#N/A,FALSE,"B3";#N/A,#N/A,FALSE,"A4";#N/A,#N/A,FALSE,"A3";#N/A,#N/A,FALSE,"A2";#N/A,#N/A,FALSE,"A1";#N/A,#N/A,FALSE,"Indice"}</definedName>
    <definedName name="min" localSheetId="1">{#N/A,#N/A,FALSE,"B1";#N/A,#N/A,FALSE,"B2";#N/A,#N/A,FALSE,"B3";#N/A,#N/A,FALSE,"A4";#N/A,#N/A,FALSE,"A3";#N/A,#N/A,FALSE,"A2";#N/A,#N/A,FALSE,"A1";#N/A,#N/A,FALSE,"Indice"}</definedName>
    <definedName name="min">{#N/A,#N/A,FALSE,"B1";#N/A,#N/A,FALSE,"B2";#N/A,#N/A,FALSE,"B3";#N/A,#N/A,FALSE,"A4";#N/A,#N/A,FALSE,"A3";#N/A,#N/A,FALSE,"A2";#N/A,#N/A,FALSE,"A1";#N/A,#N/A,FALSE,"Indice"}</definedName>
    <definedName name="mio" localSheetId="0">{#N/A,#N/A,FALSE,"Indice"}</definedName>
    <definedName name="mio" localSheetId="1">{#N/A,#N/A,FALSE,"Indice"}</definedName>
    <definedName name="mio">{#N/A,#N/A,FALSE,"Indice"}</definedName>
    <definedName name="mn" localSheetId="0">{#N/A,#N/A,FALSE,"Indice"}</definedName>
    <definedName name="mn" localSheetId="1">{#N/A,#N/A,FALSE,"Indice"}</definedName>
    <definedName name="mn">{#N/A,#N/A,FALSE,"Indice"}</definedName>
    <definedName name="moi" localSheetId="0">{#N/A,#N/A,FALSE,"A4";#N/A,#N/A,FALSE,"A3";#N/A,#N/A,FALSE,"A2";#N/A,#N/A,FALSE,"A1"}</definedName>
    <definedName name="moi" localSheetId="1">{#N/A,#N/A,FALSE,"A4";#N/A,#N/A,FALSE,"A3";#N/A,#N/A,FALSE,"A2";#N/A,#N/A,FALSE,"A1"}</definedName>
    <definedName name="moi">{#N/A,#N/A,FALSE,"A4";#N/A,#N/A,FALSE,"A3";#N/A,#N/A,FALSE,"A2";#N/A,#N/A,FALSE,"A1"}</definedName>
    <definedName name="muy" localSheetId="0">{#N/A,#N/A,FALSE,"B3";#N/A,#N/A,FALSE,"B2";#N/A,#N/A,FALSE,"B1"}</definedName>
    <definedName name="muy" localSheetId="1">{#N/A,#N/A,FALSE,"B3";#N/A,#N/A,FALSE,"B2";#N/A,#N/A,FALSE,"B1"}</definedName>
    <definedName name="muy">{#N/A,#N/A,FALSE,"B3";#N/A,#N/A,FALSE,"B2";#N/A,#N/A,FALSE,"B1"}</definedName>
    <definedName name="nn" localSheetId="0">{#N/A,#N/A,TRUE,"Proposal";#N/A,#N/A,TRUE,"Assumptions";#N/A,#N/A,TRUE,"Net Income";#N/A,#N/A,TRUE,"Balsheet";#N/A,#N/A,TRUE,"Capex";#N/A,#N/A,TRUE,"Volumes";#N/A,#N/A,TRUE,"Revenues";#N/A,#N/A,TRUE,"Var.Costs";#N/A,#N/A,TRUE,"Personnel";#N/A,#N/A,TRUE,"Other costs";#N/A,#N/A,TRUE,"MKTG and G&amp;A"}</definedName>
    <definedName name="nn" localSheetId="1">{#N/A,#N/A,TRUE,"Proposal";#N/A,#N/A,TRUE,"Assumptions";#N/A,#N/A,TRUE,"Net Income";#N/A,#N/A,TRUE,"Balsheet";#N/A,#N/A,TRUE,"Capex";#N/A,#N/A,TRUE,"Volumes";#N/A,#N/A,TRUE,"Revenues";#N/A,#N/A,TRUE,"Var.Costs";#N/A,#N/A,TRUE,"Personnel";#N/A,#N/A,TRUE,"Other costs";#N/A,#N/A,TRUE,"MKTG and G&amp;A"}</definedName>
    <definedName name="nn">{#N/A,#N/A,TRUE,"Proposal";#N/A,#N/A,TRUE,"Assumptions";#N/A,#N/A,TRUE,"Net Income";#N/A,#N/A,TRUE,"Balsheet";#N/A,#N/A,TRUE,"Capex";#N/A,#N/A,TRUE,"Volumes";#N/A,#N/A,TRUE,"Revenues";#N/A,#N/A,TRUE,"Var.Costs";#N/A,#N/A,TRUE,"Personnel";#N/A,#N/A,TRUE,"Other costs";#N/A,#N/A,TRUE,"MKTG and G&amp;A"}</definedName>
    <definedName name="NomeTabella">"Dummy"</definedName>
    <definedName name="old" localSheetId="0">{#N/A,#N/A,FALSE,"A4";#N/A,#N/A,FALSE,"A3";#N/A,#N/A,FALSE,"A2";#N/A,#N/A,FALSE,"A1"}</definedName>
    <definedName name="old" localSheetId="1">{#N/A,#N/A,FALSE,"A4";#N/A,#N/A,FALSE,"A3";#N/A,#N/A,FALSE,"A2";#N/A,#N/A,FALSE,"A1"}</definedName>
    <definedName name="old">{#N/A,#N/A,FALSE,"A4";#N/A,#N/A,FALSE,"A3";#N/A,#N/A,FALSE,"A2";#N/A,#N/A,FALSE,"A1"}</definedName>
    <definedName name="pippo" localSheetId="0">{#N/A,#N/A,FALSE,"Indice"}</definedName>
    <definedName name="pippo" localSheetId="1">{#N/A,#N/A,FALSE,"Indice"}</definedName>
    <definedName name="pippo">{#N/A,#N/A,FALSE,"Indice"}</definedName>
    <definedName name="pppppppppppppppp" localSheetId="0">{#N/A,#N/A,FALSE,"B1";#N/A,#N/A,FALSE,"B2";#N/A,#N/A,FALSE,"B3";#N/A,#N/A,FALSE,"A4";#N/A,#N/A,FALSE,"A3";#N/A,#N/A,FALSE,"A2";#N/A,#N/A,FALSE,"A1";#N/A,#N/A,FALSE,"Indice"}</definedName>
    <definedName name="pppppppppppppppp" localSheetId="1">{#N/A,#N/A,FALSE,"B1";#N/A,#N/A,FALSE,"B2";#N/A,#N/A,FALSE,"B3";#N/A,#N/A,FALSE,"A4";#N/A,#N/A,FALSE,"A3";#N/A,#N/A,FALSE,"A2";#N/A,#N/A,FALSE,"A1";#N/A,#N/A,FALSE,"Indice"}</definedName>
    <definedName name="pppppppppppppppp">{#N/A,#N/A,FALSE,"B1";#N/A,#N/A,FALSE,"B2";#N/A,#N/A,FALSE,"B3";#N/A,#N/A,FALSE,"A4";#N/A,#N/A,FALSE,"A3";#N/A,#N/A,FALSE,"A2";#N/A,#N/A,FALSE,"A1";#N/A,#N/A,FALSE,"Indice"}</definedName>
    <definedName name="pwoefu" localSheetId="0">{#N/A,#N/A,TRUE,"Proposal";#N/A,#N/A,TRUE,"Assumptions";#N/A,#N/A,TRUE,"Net Income";#N/A,#N/A,TRUE,"Balsheet";#N/A,#N/A,TRUE,"Capex";#N/A,#N/A,TRUE,"Volumes";#N/A,#N/A,TRUE,"Revenues";#N/A,#N/A,TRUE,"Var.Costs";#N/A,#N/A,TRUE,"Personnel";#N/A,#N/A,TRUE,"Other costs";#N/A,#N/A,TRUE,"MKTG and G&amp;A"}</definedName>
    <definedName name="pwoefu" localSheetId="1">{#N/A,#N/A,TRUE,"Proposal";#N/A,#N/A,TRUE,"Assumptions";#N/A,#N/A,TRUE,"Net Income";#N/A,#N/A,TRUE,"Balsheet";#N/A,#N/A,TRUE,"Capex";#N/A,#N/A,TRUE,"Volumes";#N/A,#N/A,TRUE,"Revenues";#N/A,#N/A,TRUE,"Var.Costs";#N/A,#N/A,TRUE,"Personnel";#N/A,#N/A,TRUE,"Other costs";#N/A,#N/A,TRUE,"MKTG and G&amp;A"}</definedName>
    <definedName name="pwoefu">{#N/A,#N/A,TRUE,"Proposal";#N/A,#N/A,TRUE,"Assumptions";#N/A,#N/A,TRUE,"Net Income";#N/A,#N/A,TRUE,"Balsheet";#N/A,#N/A,TRUE,"Capex";#N/A,#N/A,TRUE,"Volumes";#N/A,#N/A,TRUE,"Revenues";#N/A,#N/A,TRUE,"Var.Costs";#N/A,#N/A,TRUE,"Personnel";#N/A,#N/A,TRUE,"Other costs";#N/A,#N/A,TRUE,"MKTG and G&amp;A"}</definedName>
    <definedName name="pwoefù" localSheetId="0">{#N/A,#N/A,TRUE,"Proposal";#N/A,#N/A,TRUE,"Assumptions";#N/A,#N/A,TRUE,"Net Income";#N/A,#N/A,TRUE,"Balsheet";#N/A,#N/A,TRUE,"Capex";#N/A,#N/A,TRUE,"Volumes";#N/A,#N/A,TRUE,"Revenues";#N/A,#N/A,TRUE,"Var.Costs";#N/A,#N/A,TRUE,"Personnel";#N/A,#N/A,TRUE,"Other costs";#N/A,#N/A,TRUE,"MKTG and G&amp;A"}</definedName>
    <definedName name="pwoefù" localSheetId="1">{#N/A,#N/A,TRUE,"Proposal";#N/A,#N/A,TRUE,"Assumptions";#N/A,#N/A,TRUE,"Net Income";#N/A,#N/A,TRUE,"Balsheet";#N/A,#N/A,TRUE,"Capex";#N/A,#N/A,TRUE,"Volumes";#N/A,#N/A,TRUE,"Revenues";#N/A,#N/A,TRUE,"Var.Costs";#N/A,#N/A,TRUE,"Personnel";#N/A,#N/A,TRUE,"Other costs";#N/A,#N/A,TRUE,"MKTG and G&amp;A"}</definedName>
    <definedName name="pwoefù">{#N/A,#N/A,TRUE,"Proposal";#N/A,#N/A,TRUE,"Assumptions";#N/A,#N/A,TRUE,"Net Income";#N/A,#N/A,TRUE,"Balsheet";#N/A,#N/A,TRUE,"Capex";#N/A,#N/A,TRUE,"Volumes";#N/A,#N/A,TRUE,"Revenues";#N/A,#N/A,TRUE,"Var.Costs";#N/A,#N/A,TRUE,"Personnel";#N/A,#N/A,TRUE,"Other costs";#N/A,#N/A,TRUE,"MKTG and G&amp;A"}</definedName>
    <definedName name="QW" localSheetId="0">{#N/A,#N/A,FALSE,"Indice"}</definedName>
    <definedName name="QW" localSheetId="1">{#N/A,#N/A,FALSE,"Indice"}</definedName>
    <definedName name="QW">{#N/A,#N/A,FALSE,"Indice"}</definedName>
    <definedName name="resa" localSheetId="0">{#N/A,#N/A,FALSE,"B1";#N/A,#N/A,FALSE,"B2";#N/A,#N/A,FALSE,"B3";#N/A,#N/A,FALSE,"A4";#N/A,#N/A,FALSE,"A3";#N/A,#N/A,FALSE,"A2";#N/A,#N/A,FALSE,"A1";#N/A,#N/A,FALSE,"Indice"}</definedName>
    <definedName name="resa" localSheetId="1">{#N/A,#N/A,FALSE,"B1";#N/A,#N/A,FALSE,"B2";#N/A,#N/A,FALSE,"B3";#N/A,#N/A,FALSE,"A4";#N/A,#N/A,FALSE,"A3";#N/A,#N/A,FALSE,"A2";#N/A,#N/A,FALSE,"A1";#N/A,#N/A,FALSE,"Indice"}</definedName>
    <definedName name="resa">{#N/A,#N/A,FALSE,"B1";#N/A,#N/A,FALSE,"B2";#N/A,#N/A,FALSE,"B3";#N/A,#N/A,FALSE,"A4";#N/A,#N/A,FALSE,"A3";#N/A,#N/A,FALSE,"A2";#N/A,#N/A,FALSE,"A1";#N/A,#N/A,FALSE,"Indice"}</definedName>
    <definedName name="sa" localSheetId="0">{#N/A,#N/A,FALSE,"B1";#N/A,#N/A,FALSE,"B2";#N/A,#N/A,FALSE,"B3";#N/A,#N/A,FALSE,"A4";#N/A,#N/A,FALSE,"A3";#N/A,#N/A,FALSE,"A2";#N/A,#N/A,FALSE,"A1";#N/A,#N/A,FALSE,"Indice"}</definedName>
    <definedName name="sa" localSheetId="1">{#N/A,#N/A,FALSE,"B1";#N/A,#N/A,FALSE,"B2";#N/A,#N/A,FALSE,"B3";#N/A,#N/A,FALSE,"A4";#N/A,#N/A,FALSE,"A3";#N/A,#N/A,FALSE,"A2";#N/A,#N/A,FALSE,"A1";#N/A,#N/A,FALSE,"Indice"}</definedName>
    <definedName name="sa">{#N/A,#N/A,FALSE,"B1";#N/A,#N/A,FALSE,"B2";#N/A,#N/A,FALSE,"B3";#N/A,#N/A,FALSE,"A4";#N/A,#N/A,FALSE,"A3";#N/A,#N/A,FALSE,"A2";#N/A,#N/A,FALSE,"A1";#N/A,#N/A,FALSE,"Indice"}</definedName>
    <definedName name="sader" localSheetId="0">{#N/A,#N/A,FALSE,"B1";#N/A,#N/A,FALSE,"B2";#N/A,#N/A,FALSE,"B3";#N/A,#N/A,FALSE,"A4";#N/A,#N/A,FALSE,"A3";#N/A,#N/A,FALSE,"A2";#N/A,#N/A,FALSE,"A1";#N/A,#N/A,FALSE,"Indice"}</definedName>
    <definedName name="sader" localSheetId="1">{#N/A,#N/A,FALSE,"B1";#N/A,#N/A,FALSE,"B2";#N/A,#N/A,FALSE,"B3";#N/A,#N/A,FALSE,"A4";#N/A,#N/A,FALSE,"A3";#N/A,#N/A,FALSE,"A2";#N/A,#N/A,FALSE,"A1";#N/A,#N/A,FALSE,"Indice"}</definedName>
    <definedName name="sader">{#N/A,#N/A,FALSE,"B1";#N/A,#N/A,FALSE,"B2";#N/A,#N/A,FALSE,"B3";#N/A,#N/A,FALSE,"A4";#N/A,#N/A,FALSE,"A3";#N/A,#N/A,FALSE,"A2";#N/A,#N/A,FALSE,"A1";#N/A,#N/A,FALSE,"Indice"}</definedName>
    <definedName name="sae" localSheetId="0">{#N/A,#N/A,FALSE,"Indice"}</definedName>
    <definedName name="sae" localSheetId="1">{#N/A,#N/A,FALSE,"Indice"}</definedName>
    <definedName name="sae">{#N/A,#N/A,FALSE,"Indice"}</definedName>
    <definedName name="sq" localSheetId="0">{#N/A,#N/A,FALSE,"Indice"}</definedName>
    <definedName name="sq" localSheetId="1">{#N/A,#N/A,FALSE,"Indice"}</definedName>
    <definedName name="sq">{#N/A,#N/A,FALSE,"Indice"}</definedName>
    <definedName name="SS" localSheetId="0">{#N/A,#N/A,TRUE,"Proposal";#N/A,#N/A,TRUE,"Assumptions";#N/A,#N/A,TRUE,"Net Income";#N/A,#N/A,TRUE,"Balsheet";#N/A,#N/A,TRUE,"Capex";#N/A,#N/A,TRUE,"Volumes";#N/A,#N/A,TRUE,"Revenues";#N/A,#N/A,TRUE,"Var.Costs";#N/A,#N/A,TRUE,"Personnel";#N/A,#N/A,TRUE,"Other costs";#N/A,#N/A,TRUE,"MKTG and G&amp;A"}</definedName>
    <definedName name="SS" localSheetId="1">{#N/A,#N/A,TRUE,"Proposal";#N/A,#N/A,TRUE,"Assumptions";#N/A,#N/A,TRUE,"Net Income";#N/A,#N/A,TRUE,"Balsheet";#N/A,#N/A,TRUE,"Capex";#N/A,#N/A,TRUE,"Volumes";#N/A,#N/A,TRUE,"Revenues";#N/A,#N/A,TRUE,"Var.Costs";#N/A,#N/A,TRUE,"Personnel";#N/A,#N/A,TRUE,"Other costs";#N/A,#N/A,TRUE,"MKTG and G&amp;A"}</definedName>
    <definedName name="SS">{#N/A,#N/A,TRUE,"Proposal";#N/A,#N/A,TRUE,"Assumptions";#N/A,#N/A,TRUE,"Net Income";#N/A,#N/A,TRUE,"Balsheet";#N/A,#N/A,TRUE,"Capex";#N/A,#N/A,TRUE,"Volumes";#N/A,#N/A,TRUE,"Revenues";#N/A,#N/A,TRUE,"Var.Costs";#N/A,#N/A,TRUE,"Personnel";#N/A,#N/A,TRUE,"Other costs";#N/A,#N/A,TRUE,"MKTG and G&amp;A"}</definedName>
    <definedName name="sss" localSheetId="0">{#N/A,#N/A,TRUE,"Proposal";#N/A,#N/A,TRUE,"Assumptions";#N/A,#N/A,TRUE,"Net Income";#N/A,#N/A,TRUE,"Balsheet";#N/A,#N/A,TRUE,"Capex";#N/A,#N/A,TRUE,"Volumes";#N/A,#N/A,TRUE,"Revenues";#N/A,#N/A,TRUE,"Var.Costs";#N/A,#N/A,TRUE,"Personnel";#N/A,#N/A,TRUE,"Other costs";#N/A,#N/A,TRUE,"MKTG and G&amp;A"}</definedName>
    <definedName name="sss" localSheetId="1">{#N/A,#N/A,TRUE,"Proposal";#N/A,#N/A,TRUE,"Assumptions";#N/A,#N/A,TRUE,"Net Income";#N/A,#N/A,TRUE,"Balsheet";#N/A,#N/A,TRUE,"Capex";#N/A,#N/A,TRUE,"Volumes";#N/A,#N/A,TRUE,"Revenues";#N/A,#N/A,TRUE,"Var.Costs";#N/A,#N/A,TRUE,"Personnel";#N/A,#N/A,TRUE,"Other costs";#N/A,#N/A,TRUE,"MKTG and G&amp;A"}</definedName>
    <definedName name="sss">{#N/A,#N/A,TRUE,"Proposal";#N/A,#N/A,TRUE,"Assumptions";#N/A,#N/A,TRUE,"Net Income";#N/A,#N/A,TRUE,"Balsheet";#N/A,#N/A,TRUE,"Capex";#N/A,#N/A,TRUE,"Volumes";#N/A,#N/A,TRUE,"Revenues";#N/A,#N/A,TRUE,"Var.Costs";#N/A,#N/A,TRUE,"Personnel";#N/A,#N/A,TRUE,"Other costs";#N/A,#N/A,TRUE,"MKTG and G&amp;A"}</definedName>
    <definedName name="ssss" localSheetId="0">{#N/A,#N/A,TRUE,"Proposal";#N/A,#N/A,TRUE,"Assumptions";#N/A,#N/A,TRUE,"Net Income";#N/A,#N/A,TRUE,"Balsheet";#N/A,#N/A,TRUE,"Capex";#N/A,#N/A,TRUE,"Volumes";#N/A,#N/A,TRUE,"Revenues";#N/A,#N/A,TRUE,"Var.Costs";#N/A,#N/A,TRUE,"Personnel";#N/A,#N/A,TRUE,"Other costs";#N/A,#N/A,TRUE,"MKTG and G&amp;A"}</definedName>
    <definedName name="ssss" localSheetId="1">{#N/A,#N/A,TRUE,"Proposal";#N/A,#N/A,TRUE,"Assumptions";#N/A,#N/A,TRUE,"Net Income";#N/A,#N/A,TRUE,"Balsheet";#N/A,#N/A,TRUE,"Capex";#N/A,#N/A,TRUE,"Volumes";#N/A,#N/A,TRUE,"Revenues";#N/A,#N/A,TRUE,"Var.Costs";#N/A,#N/A,TRUE,"Personnel";#N/A,#N/A,TRUE,"Other costs";#N/A,#N/A,TRUE,"MKTG and G&amp;A"}</definedName>
    <definedName name="ssss">{#N/A,#N/A,TRUE,"Proposal";#N/A,#N/A,TRUE,"Assumptions";#N/A,#N/A,TRUE,"Net Income";#N/A,#N/A,TRUE,"Balsheet";#N/A,#N/A,TRUE,"Capex";#N/A,#N/A,TRUE,"Volumes";#N/A,#N/A,TRUE,"Revenues";#N/A,#N/A,TRUE,"Var.Costs";#N/A,#N/A,TRUE,"Personnel";#N/A,#N/A,TRUE,"Other costs";#N/A,#N/A,TRUE,"MKTG and G&amp;A"}</definedName>
    <definedName name="sw" localSheetId="0">{#N/A,#N/A,FALSE,"B1";#N/A,#N/A,FALSE,"B2";#N/A,#N/A,FALSE,"B3";#N/A,#N/A,FALSE,"A4";#N/A,#N/A,FALSE,"A3";#N/A,#N/A,FALSE,"A2";#N/A,#N/A,FALSE,"A1";#N/A,#N/A,FALSE,"Indice"}</definedName>
    <definedName name="sw" localSheetId="1">{#N/A,#N/A,FALSE,"B1";#N/A,#N/A,FALSE,"B2";#N/A,#N/A,FALSE,"B3";#N/A,#N/A,FALSE,"A4";#N/A,#N/A,FALSE,"A3";#N/A,#N/A,FALSE,"A2";#N/A,#N/A,FALSE,"A1";#N/A,#N/A,FALSE,"Indice"}</definedName>
    <definedName name="sw">{#N/A,#N/A,FALSE,"B1";#N/A,#N/A,FALSE,"B2";#N/A,#N/A,FALSE,"B3";#N/A,#N/A,FALSE,"A4";#N/A,#N/A,FALSE,"A3";#N/A,#N/A,FALSE,"A2";#N/A,#N/A,FALSE,"A1";#N/A,#N/A,FALSE,"Indice"}</definedName>
    <definedName name="td" localSheetId="0">{#N/A,#N/A,FALSE,"Indice"}</definedName>
    <definedName name="td" localSheetId="1">{#N/A,#N/A,FALSE,"Indice"}</definedName>
    <definedName name="td">{#N/A,#N/A,FALSE,"Indice"}</definedName>
    <definedName name="tre" localSheetId="0">{#N/A,#N/A,FALSE,"Indice"}</definedName>
    <definedName name="tre" localSheetId="1">{#N/A,#N/A,FALSE,"Indice"}</definedName>
    <definedName name="tre">{#N/A,#N/A,FALSE,"Indice"}</definedName>
    <definedName name="ver" localSheetId="0">{#N/A,#N/A,FALSE,"B3";#N/A,#N/A,FALSE,"B2";#N/A,#N/A,FALSE,"B1"}</definedName>
    <definedName name="ver" localSheetId="1">{#N/A,#N/A,FALSE,"B3";#N/A,#N/A,FALSE,"B2";#N/A,#N/A,FALSE,"B1"}</definedName>
    <definedName name="ver">{#N/A,#N/A,FALSE,"B3";#N/A,#N/A,FALSE,"B2";#N/A,#N/A,FALSE,"B1"}</definedName>
    <definedName name="verd" localSheetId="0">{#N/A,#N/A,FALSE,"B1";#N/A,#N/A,FALSE,"B2";#N/A,#N/A,FALSE,"B3";#N/A,#N/A,FALSE,"A4";#N/A,#N/A,FALSE,"A3";#N/A,#N/A,FALSE,"A2";#N/A,#N/A,FALSE,"A1";#N/A,#N/A,FALSE,"Indice"}</definedName>
    <definedName name="verd" localSheetId="1">{#N/A,#N/A,FALSE,"B1";#N/A,#N/A,FALSE,"B2";#N/A,#N/A,FALSE,"B3";#N/A,#N/A,FALSE,"A4";#N/A,#N/A,FALSE,"A3";#N/A,#N/A,FALSE,"A2";#N/A,#N/A,FALSE,"A1";#N/A,#N/A,FALSE,"Indice"}</definedName>
    <definedName name="verd">{#N/A,#N/A,FALSE,"B1";#N/A,#N/A,FALSE,"B2";#N/A,#N/A,FALSE,"B3";#N/A,#N/A,FALSE,"A4";#N/A,#N/A,FALSE,"A3";#N/A,#N/A,FALSE,"A2";#N/A,#N/A,FALSE,"A1";#N/A,#N/A,FALSE,"Indice"}</definedName>
    <definedName name="verfi" localSheetId="0">{#N/A,#N/A,FALSE,"A4";#N/A,#N/A,FALSE,"A3";#N/A,#N/A,FALSE,"A2";#N/A,#N/A,FALSE,"A1"}</definedName>
    <definedName name="verfi" localSheetId="1">{#N/A,#N/A,FALSE,"A4";#N/A,#N/A,FALSE,"A3";#N/A,#N/A,FALSE,"A2";#N/A,#N/A,FALSE,"A1"}</definedName>
    <definedName name="verfi">{#N/A,#N/A,FALSE,"A4";#N/A,#N/A,FALSE,"A3";#N/A,#N/A,FALSE,"A2";#N/A,#N/A,FALSE,"A1"}</definedName>
    <definedName name="vf" localSheetId="0">{#N/A,#N/A,FALSE,"A4";#N/A,#N/A,FALSE,"A3";#N/A,#N/A,FALSE,"A2";#N/A,#N/A,FALSE,"A1"}</definedName>
    <definedName name="vf" localSheetId="1">{#N/A,#N/A,FALSE,"A4";#N/A,#N/A,FALSE,"A3";#N/A,#N/A,FALSE,"A2";#N/A,#N/A,FALSE,"A1"}</definedName>
    <definedName name="vf">{#N/A,#N/A,FALSE,"A4";#N/A,#N/A,FALSE,"A3";#N/A,#N/A,FALSE,"A2";#N/A,#N/A,FALSE,"A1"}</definedName>
    <definedName name="vio" localSheetId="0">{#N/A,#N/A,FALSE,"A4";#N/A,#N/A,FALSE,"A3";#N/A,#N/A,FALSE,"A2";#N/A,#N/A,FALSE,"A1"}</definedName>
    <definedName name="vio" localSheetId="1">{#N/A,#N/A,FALSE,"A4";#N/A,#N/A,FALSE,"A3";#N/A,#N/A,FALSE,"A2";#N/A,#N/A,FALSE,"A1"}</definedName>
    <definedName name="vio">{#N/A,#N/A,FALSE,"A4";#N/A,#N/A,FALSE,"A3";#N/A,#N/A,FALSE,"A2";#N/A,#N/A,FALSE,"A1"}</definedName>
    <definedName name="wrn.Danilo." localSheetId="0">{#N/A,#N/A,TRUE,"Main Issues";#N/A,#N/A,TRUE,"Income statement ($)"}</definedName>
    <definedName name="wrn.Danilo." localSheetId="1">{#N/A,#N/A,TRUE,"Main Issues";#N/A,#N/A,TRUE,"Income statement ($)"}</definedName>
    <definedName name="wrn.Danilo.">{#N/A,#N/A,TRUE,"Main Issues";#N/A,#N/A,TRUE,"Income statement ($)"}</definedName>
    <definedName name="wrn.Elaborati._.di._.sintesi." localSheetId="0">{#N/A,#N/A,FALSE,"A4";#N/A,#N/A,FALSE,"A3";#N/A,#N/A,FALSE,"A2";#N/A,#N/A,FALSE,"A1"}</definedName>
    <definedName name="wrn.Elaborati._.di._.sintesi." localSheetId="1">{#N/A,#N/A,FALSE,"A4";#N/A,#N/A,FALSE,"A3";#N/A,#N/A,FALSE,"A2";#N/A,#N/A,FALSE,"A1"}</definedName>
    <definedName name="wrn.Elaborati._.di._.sintesi.">{#N/A,#N/A,FALSE,"A4";#N/A,#N/A,FALSE,"A3";#N/A,#N/A,FALSE,"A2";#N/A,#N/A,FALSE,"A1"}</definedName>
    <definedName name="wrn.Indice." localSheetId="0">{#N/A,#N/A,FALSE,"Indice"}</definedName>
    <definedName name="wrn.Indice." localSheetId="1">{#N/A,#N/A,FALSE,"Indice"}</definedName>
    <definedName name="wrn.Indice.">{#N/A,#N/A,FALSE,"Indice"}</definedName>
    <definedName name="wrn.Modello." localSheetId="0">{#N/A,#N/A,TRUE,"Proposal";#N/A,#N/A,TRUE,"Assumptions";#N/A,#N/A,TRUE,"Net Income";#N/A,#N/A,TRUE,"Balsheet";#N/A,#N/A,TRUE,"Capex";#N/A,#N/A,TRUE,"Volumes";#N/A,#N/A,TRUE,"Revenues";#N/A,#N/A,TRUE,"Var.Costs";#N/A,#N/A,TRUE,"Personnel";#N/A,#N/A,TRUE,"Other costs";#N/A,#N/A,TRUE,"MKTG and G&amp;A"}</definedName>
    <definedName name="wrn.Modello." localSheetId="1">{#N/A,#N/A,TRUE,"Proposal";#N/A,#N/A,TRUE,"Assumptions";#N/A,#N/A,TRUE,"Net Income";#N/A,#N/A,TRUE,"Balsheet";#N/A,#N/A,TRUE,"Capex";#N/A,#N/A,TRUE,"Volumes";#N/A,#N/A,TRUE,"Revenues";#N/A,#N/A,TRUE,"Var.Costs";#N/A,#N/A,TRUE,"Personnel";#N/A,#N/A,TRUE,"Other costs";#N/A,#N/A,TRUE,"MKTG and G&amp;A"}</definedName>
    <definedName name="wrn.Modello.">{#N/A,#N/A,TRUE,"Proposal";#N/A,#N/A,TRUE,"Assumptions";#N/A,#N/A,TRUE,"Net Income";#N/A,#N/A,TRUE,"Balsheet";#N/A,#N/A,TRUE,"Capex";#N/A,#N/A,TRUE,"Volumes";#N/A,#N/A,TRUE,"Revenues";#N/A,#N/A,TRUE,"Var.Costs";#N/A,#N/A,TRUE,"Personnel";#N/A,#N/A,TRUE,"Other costs";#N/A,#N/A,TRUE,"MKTG and G&amp;A"}</definedName>
    <definedName name="wrn.Prospetti._.di._.bilancio." localSheetId="0">{#N/A,#N/A,FALSE,"B3";#N/A,#N/A,FALSE,"B2";#N/A,#N/A,FALSE,"B1"}</definedName>
    <definedName name="wrn.Prospetti._.di._.bilancio." localSheetId="1">{#N/A,#N/A,FALSE,"B3";#N/A,#N/A,FALSE,"B2";#N/A,#N/A,FALSE,"B1"}</definedName>
    <definedName name="wrn.Prospetti._.di._.bilancio.">{#N/A,#N/A,FALSE,"B3";#N/A,#N/A,FALSE,"B2";#N/A,#N/A,FALSE,"B1"}</definedName>
    <definedName name="wrn.Tutti." localSheetId="0">{#N/A,#N/A,FALSE,"B1";#N/A,#N/A,FALSE,"B2";#N/A,#N/A,FALSE,"B3";#N/A,#N/A,FALSE,"A4";#N/A,#N/A,FALSE,"A3";#N/A,#N/A,FALSE,"A2";#N/A,#N/A,FALSE,"A1";#N/A,#N/A,FALSE,"Indice"}</definedName>
    <definedName name="wrn.Tutti." localSheetId="1">{#N/A,#N/A,FALSE,"B1";#N/A,#N/A,FALSE,"B2";#N/A,#N/A,FALSE,"B3";#N/A,#N/A,FALSE,"A4";#N/A,#N/A,FALSE,"A3";#N/A,#N/A,FALSE,"A2";#N/A,#N/A,FALSE,"A1";#N/A,#N/A,FALSE,"Indice"}</definedName>
    <definedName name="wrn.Tutti.">{#N/A,#N/A,FALSE,"B1";#N/A,#N/A,FALSE,"B2";#N/A,#N/A,FALSE,"B3";#N/A,#N/A,FALSE,"A4";#N/A,#N/A,FALSE,"A3";#N/A,#N/A,FALSE,"A2";#N/A,#N/A,FALSE,"A1";#N/A,#N/A,FALSE,"Indice"}</definedName>
    <definedName name="wrn.Valuation." localSheetId="0">{#N/A,#N/A,FALSE,"Colombo";#N/A,#N/A,FALSE,"Colata";#N/A,#N/A,FALSE,"Colombo + Colata"}</definedName>
    <definedName name="wrn.Valuation." localSheetId="1">{#N/A,#N/A,FALSE,"Colombo";#N/A,#N/A,FALSE,"Colata";#N/A,#N/A,FALSE,"Colombo + Colata"}</definedName>
    <definedName name="wrn.Valuation.">{#N/A,#N/A,FALSE,"Colombo";#N/A,#N/A,FALSE,"Colata";#N/A,#N/A,FALSE,"Colombo + Colata"}</definedName>
    <definedName name="x" localSheetId="0">{#N/A,#N/A,FALSE,"B1";#N/A,#N/A,FALSE,"B2";#N/A,#N/A,FALSE,"B3";#N/A,#N/A,FALSE,"A4";#N/A,#N/A,FALSE,"A3";#N/A,#N/A,FALSE,"A2";#N/A,#N/A,FALSE,"A1";#N/A,#N/A,FALSE,"Indice"}</definedName>
    <definedName name="x" localSheetId="1">{#N/A,#N/A,FALSE,"B1";#N/A,#N/A,FALSE,"B2";#N/A,#N/A,FALSE,"B3";#N/A,#N/A,FALSE,"A4";#N/A,#N/A,FALSE,"A3";#N/A,#N/A,FALSE,"A2";#N/A,#N/A,FALSE,"A1";#N/A,#N/A,FALSE,"Indice"}</definedName>
    <definedName name="x">{#N/A,#N/A,FALSE,"B1";#N/A,#N/A,FALSE,"B2";#N/A,#N/A,FALSE,"B3";#N/A,#N/A,FALSE,"A4";#N/A,#N/A,FALSE,"A3";#N/A,#N/A,FALSE,"A2";#N/A,#N/A,FALSE,"A1";#N/A,#N/A,FALSE,"Indice"}</definedName>
    <definedName name="xas" localSheetId="0">{#N/A,#N/A,FALSE,"Indice"}</definedName>
    <definedName name="xas" localSheetId="1">{#N/A,#N/A,FALSE,"Indice"}</definedName>
    <definedName name="xas">{#N/A,#N/A,FALSE,"Indice"}</definedName>
    <definedName name="Z_CB3DB476_D57E_484D_833E_8DF7164B9DB8_.wvu.PrintArea" localSheetId="0">Copertina!$A$1:$R$74</definedName>
    <definedName name="Z_CB3DB476_D57E_484D_833E_8DF7164B9DB8_.wvu.Rows" localSheetId="0">Copertina!$55:$55</definedName>
    <definedName name="ZA" localSheetId="0">{#N/A,#N/A,FALSE,"B1";#N/A,#N/A,FALSE,"B2";#N/A,#N/A,FALSE,"B3";#N/A,#N/A,FALSE,"A4";#N/A,#N/A,FALSE,"A3";#N/A,#N/A,FALSE,"A2";#N/A,#N/A,FALSE,"A1";#N/A,#N/A,FALSE,"Indice"}</definedName>
    <definedName name="ZA" localSheetId="1">{#N/A,#N/A,FALSE,"B1";#N/A,#N/A,FALSE,"B2";#N/A,#N/A,FALSE,"B3";#N/A,#N/A,FALSE,"A4";#N/A,#N/A,FALSE,"A3";#N/A,#N/A,FALSE,"A2";#N/A,#N/A,FALSE,"A1";#N/A,#N/A,FALSE,"Indice"}</definedName>
    <definedName name="ZA">{#N/A,#N/A,FALSE,"B1";#N/A,#N/A,FALSE,"B2";#N/A,#N/A,FALSE,"B3";#N/A,#N/A,FALSE,"A4";#N/A,#N/A,FALSE,"A3";#N/A,#N/A,FALSE,"A2";#N/A,#N/A,FALSE,"A1";#N/A,#N/A,FALSE,"Indice"}</definedName>
    <definedName name="zazaz" localSheetId="0">{#N/A,#N/A,FALSE,"B1";#N/A,#N/A,FALSE,"B2";#N/A,#N/A,FALSE,"B3";#N/A,#N/A,FALSE,"A4";#N/A,#N/A,FALSE,"A3";#N/A,#N/A,FALSE,"A2";#N/A,#N/A,FALSE,"A1";#N/A,#N/A,FALSE,"Indice"}</definedName>
    <definedName name="zazaz" localSheetId="1">{#N/A,#N/A,FALSE,"B1";#N/A,#N/A,FALSE,"B2";#N/A,#N/A,FALSE,"B3";#N/A,#N/A,FALSE,"A4";#N/A,#N/A,FALSE,"A3";#N/A,#N/A,FALSE,"A2";#N/A,#N/A,FALSE,"A1";#N/A,#N/A,FALSE,"Indice"}</definedName>
    <definedName name="zazaz">{#N/A,#N/A,FALSE,"B1";#N/A,#N/A,FALSE,"B2";#N/A,#N/A,FALSE,"B3";#N/A,#N/A,FALSE,"A4";#N/A,#N/A,FALSE,"A3";#N/A,#N/A,FALSE,"A2";#N/A,#N/A,FALSE,"A1";#N/A,#N/A,FALSE,"Indice"}</definedName>
  </definedName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F59" i="7" l="1"/>
  <c r="C75" i="4" l="1"/>
  <c r="F34" i="10" l="1"/>
  <c r="F34" i="7"/>
  <c r="F34" i="4"/>
  <c r="C30" i="4"/>
  <c r="F58" i="11"/>
  <c r="A2" i="4" l="1"/>
  <c r="A2" i="5"/>
  <c r="A2" i="7"/>
  <c r="A2" i="8"/>
  <c r="A2" i="11"/>
  <c r="A2" i="13"/>
  <c r="A2" i="14"/>
  <c r="E75" i="4" l="1"/>
  <c r="F75" i="4" s="1"/>
  <c r="E63" i="4"/>
  <c r="F54" i="7"/>
  <c r="F77" i="11" l="1"/>
  <c r="F63" i="10" l="1"/>
  <c r="F63" i="7"/>
  <c r="F14" i="7"/>
  <c r="F72" i="8" l="1"/>
  <c r="K79" i="14" l="1"/>
  <c r="J79" i="14"/>
  <c r="I79" i="14"/>
  <c r="H79" i="14"/>
  <c r="F79" i="14"/>
  <c r="D79" i="14"/>
  <c r="K78" i="14"/>
  <c r="J78" i="14"/>
  <c r="I78" i="14"/>
  <c r="H78" i="14"/>
  <c r="F78" i="14"/>
  <c r="D78" i="14"/>
  <c r="K77" i="14"/>
  <c r="J77" i="14"/>
  <c r="I77" i="14"/>
  <c r="H77" i="14"/>
  <c r="K76" i="14"/>
  <c r="J76" i="14"/>
  <c r="I76" i="14"/>
  <c r="K75" i="14"/>
  <c r="J75" i="14"/>
  <c r="I75" i="14"/>
  <c r="F75" i="14"/>
  <c r="D75" i="14"/>
  <c r="K74" i="14"/>
  <c r="J74" i="14"/>
  <c r="I74" i="14"/>
  <c r="H74" i="14"/>
  <c r="F74" i="14"/>
  <c r="D74" i="14"/>
  <c r="K73" i="14"/>
  <c r="J73" i="14"/>
  <c r="I73" i="14"/>
  <c r="H73" i="14"/>
  <c r="F73" i="14"/>
  <c r="D73" i="14"/>
  <c r="K72" i="14"/>
  <c r="J72" i="14"/>
  <c r="I72" i="14"/>
  <c r="F72" i="14"/>
  <c r="K71" i="14"/>
  <c r="J71" i="14"/>
  <c r="I71" i="14"/>
  <c r="H71" i="14"/>
  <c r="F71" i="14"/>
  <c r="D71" i="14"/>
  <c r="K70" i="14"/>
  <c r="J70" i="14"/>
  <c r="I70" i="14"/>
  <c r="H70" i="14"/>
  <c r="F70" i="14"/>
  <c r="D70" i="14"/>
  <c r="K69" i="14"/>
  <c r="J69" i="14"/>
  <c r="I69" i="14"/>
  <c r="H69" i="14"/>
  <c r="F69" i="14"/>
  <c r="D69" i="14"/>
  <c r="K68" i="14"/>
  <c r="J68" i="14"/>
  <c r="I68" i="14"/>
  <c r="H68" i="14"/>
  <c r="F68" i="14"/>
  <c r="D68" i="14"/>
  <c r="K67" i="14"/>
  <c r="J67" i="14"/>
  <c r="I67" i="14"/>
  <c r="H67" i="14"/>
  <c r="F67" i="14"/>
  <c r="D67" i="14"/>
  <c r="K66" i="14"/>
  <c r="J66" i="14"/>
  <c r="I66" i="14"/>
  <c r="H66" i="14"/>
  <c r="F66" i="14"/>
  <c r="D66" i="14"/>
  <c r="K65" i="14"/>
  <c r="I65" i="14"/>
  <c r="K64" i="14"/>
  <c r="I64" i="14"/>
  <c r="K63" i="14"/>
  <c r="I63" i="14"/>
  <c r="K62" i="14"/>
  <c r="I62" i="14"/>
  <c r="K61" i="14"/>
  <c r="I61" i="14"/>
  <c r="K60" i="14"/>
  <c r="J60" i="14"/>
  <c r="I60" i="14"/>
  <c r="K59" i="14"/>
  <c r="J59" i="14"/>
  <c r="I59" i="14"/>
  <c r="H59" i="14"/>
  <c r="F59" i="14"/>
  <c r="D59" i="14"/>
  <c r="K58" i="14"/>
  <c r="J58" i="14"/>
  <c r="I58" i="14"/>
  <c r="D58" i="14"/>
  <c r="K57" i="14"/>
  <c r="J57" i="14"/>
  <c r="I57" i="14"/>
  <c r="F57" i="14"/>
  <c r="D57" i="14"/>
  <c r="K56" i="14"/>
  <c r="J56" i="14"/>
  <c r="I56" i="14"/>
  <c r="K55" i="14"/>
  <c r="J55" i="14"/>
  <c r="I55" i="14"/>
  <c r="H55" i="14"/>
  <c r="F55" i="14"/>
  <c r="D55" i="14"/>
  <c r="K54" i="14"/>
  <c r="I54" i="14"/>
  <c r="K53" i="14"/>
  <c r="J53" i="14"/>
  <c r="I53" i="14"/>
  <c r="K52" i="14"/>
  <c r="J52" i="14"/>
  <c r="I52" i="14"/>
  <c r="H52" i="14"/>
  <c r="F52" i="14"/>
  <c r="D52" i="14"/>
  <c r="K51" i="14"/>
  <c r="J51" i="14"/>
  <c r="I51" i="14"/>
  <c r="H51" i="14"/>
  <c r="F51" i="14"/>
  <c r="D51" i="14"/>
  <c r="K50" i="14"/>
  <c r="J50" i="14"/>
  <c r="I50" i="14"/>
  <c r="H50" i="14"/>
  <c r="F50" i="14"/>
  <c r="D50" i="14"/>
  <c r="K49" i="14"/>
  <c r="J49" i="14"/>
  <c r="I49" i="14"/>
  <c r="H49" i="14"/>
  <c r="F49" i="14"/>
  <c r="D49" i="14"/>
  <c r="K48" i="14"/>
  <c r="I48" i="14"/>
  <c r="K47" i="14"/>
  <c r="J47" i="14"/>
  <c r="I47" i="14"/>
  <c r="K46" i="14"/>
  <c r="J46" i="14"/>
  <c r="I46" i="14"/>
  <c r="H46" i="14"/>
  <c r="F46" i="14"/>
  <c r="D46" i="14"/>
  <c r="K45" i="14"/>
  <c r="J45" i="14"/>
  <c r="I45" i="14"/>
  <c r="K44" i="14"/>
  <c r="J44" i="14"/>
  <c r="I44" i="14"/>
  <c r="H44" i="14"/>
  <c r="F44" i="14"/>
  <c r="D44" i="14"/>
  <c r="K43" i="14"/>
  <c r="J43" i="14"/>
  <c r="I43" i="14"/>
  <c r="H43" i="14"/>
  <c r="F43" i="14"/>
  <c r="D43" i="14"/>
  <c r="K42" i="14"/>
  <c r="J42" i="14"/>
  <c r="I42" i="14"/>
  <c r="H42" i="14"/>
  <c r="F42" i="14"/>
  <c r="D42" i="14"/>
  <c r="K41" i="14"/>
  <c r="J41" i="14"/>
  <c r="I41" i="14"/>
  <c r="F41" i="14"/>
  <c r="D41" i="14"/>
  <c r="K40" i="14"/>
  <c r="J40" i="14"/>
  <c r="I40" i="14"/>
  <c r="K39" i="14"/>
  <c r="J39" i="14"/>
  <c r="I39" i="14"/>
  <c r="K38" i="14"/>
  <c r="J38" i="14"/>
  <c r="I38" i="14"/>
  <c r="K37" i="14"/>
  <c r="J37" i="14"/>
  <c r="I37" i="14"/>
  <c r="H37" i="14"/>
  <c r="F37" i="14"/>
  <c r="D37" i="14"/>
  <c r="K36" i="14"/>
  <c r="J36" i="14"/>
  <c r="I36" i="14"/>
  <c r="H36" i="14"/>
  <c r="F36" i="14"/>
  <c r="D36" i="14"/>
  <c r="K35" i="14"/>
  <c r="J35" i="14"/>
  <c r="I35" i="14"/>
  <c r="H35" i="14"/>
  <c r="F35" i="14"/>
  <c r="D35" i="14"/>
  <c r="K34" i="14"/>
  <c r="J34" i="14"/>
  <c r="I34" i="14"/>
  <c r="K33" i="14"/>
  <c r="I33" i="14"/>
  <c r="K32" i="14"/>
  <c r="I32" i="14"/>
  <c r="K31" i="14"/>
  <c r="J31" i="14"/>
  <c r="I31" i="14"/>
  <c r="K30" i="14"/>
  <c r="J30" i="14"/>
  <c r="I30" i="14"/>
  <c r="K29" i="14"/>
  <c r="J29" i="14"/>
  <c r="I29" i="14"/>
  <c r="H29" i="14"/>
  <c r="F29" i="14"/>
  <c r="D29" i="14"/>
  <c r="K28" i="14"/>
  <c r="J28" i="14"/>
  <c r="I28" i="14"/>
  <c r="D28" i="14"/>
  <c r="K27" i="14"/>
  <c r="J27" i="14"/>
  <c r="I27" i="14"/>
  <c r="H27" i="14"/>
  <c r="F27" i="14"/>
  <c r="D27" i="14"/>
  <c r="K26" i="14"/>
  <c r="J26" i="14"/>
  <c r="I26" i="14"/>
  <c r="K25" i="14"/>
  <c r="J25" i="14"/>
  <c r="I25" i="14"/>
  <c r="H25" i="14"/>
  <c r="F25" i="14"/>
  <c r="D25" i="14"/>
  <c r="K24" i="14"/>
  <c r="J24" i="14"/>
  <c r="I24" i="14"/>
  <c r="H24" i="14"/>
  <c r="F24" i="14"/>
  <c r="D24" i="14"/>
  <c r="K23" i="14"/>
  <c r="J23" i="14"/>
  <c r="I23" i="14"/>
  <c r="H23" i="14"/>
  <c r="F23" i="14"/>
  <c r="D23" i="14"/>
  <c r="K22" i="14"/>
  <c r="J22" i="14"/>
  <c r="I22" i="14"/>
  <c r="K21" i="14"/>
  <c r="J21" i="14"/>
  <c r="I21" i="14"/>
  <c r="K20" i="14"/>
  <c r="J20" i="14"/>
  <c r="I20" i="14"/>
  <c r="H20" i="14"/>
  <c r="F20" i="14"/>
  <c r="D20" i="14"/>
  <c r="K19" i="14"/>
  <c r="J19" i="14"/>
  <c r="I19" i="14"/>
  <c r="H19" i="14"/>
  <c r="F19" i="14"/>
  <c r="D19" i="14"/>
  <c r="K18" i="14"/>
  <c r="J18" i="14"/>
  <c r="I18" i="14"/>
  <c r="K17" i="14"/>
  <c r="J17" i="14"/>
  <c r="I17" i="14"/>
  <c r="K16" i="14"/>
  <c r="J16" i="14"/>
  <c r="I16" i="14"/>
  <c r="H16" i="14"/>
  <c r="F16" i="14"/>
  <c r="D16" i="14"/>
  <c r="K15" i="14"/>
  <c r="J15" i="14"/>
  <c r="I15" i="14"/>
  <c r="H15" i="14"/>
  <c r="F15" i="14"/>
  <c r="D15" i="14"/>
  <c r="K14" i="14"/>
  <c r="J14" i="14"/>
  <c r="I14" i="14"/>
  <c r="H14" i="14"/>
  <c r="F14" i="14"/>
  <c r="D14" i="14"/>
  <c r="K13" i="14"/>
  <c r="J13" i="14"/>
  <c r="I13" i="14"/>
  <c r="K12" i="14"/>
  <c r="J12" i="14"/>
  <c r="I12" i="14"/>
  <c r="H12" i="14"/>
  <c r="F12" i="14"/>
  <c r="D12" i="14"/>
  <c r="K11" i="14"/>
  <c r="I11" i="14"/>
  <c r="K10" i="14"/>
  <c r="J10" i="14"/>
  <c r="I10" i="14"/>
  <c r="H10" i="14"/>
  <c r="F10" i="14"/>
  <c r="D10" i="14"/>
  <c r="K9" i="14"/>
  <c r="J9" i="14"/>
  <c r="I9" i="14"/>
  <c r="H9" i="14"/>
  <c r="F9" i="14"/>
  <c r="D9" i="14"/>
  <c r="K8" i="14"/>
  <c r="J8" i="14"/>
  <c r="I8" i="14"/>
  <c r="H8" i="14"/>
  <c r="F8" i="14"/>
  <c r="D8" i="14"/>
  <c r="K7" i="14"/>
  <c r="I7" i="14"/>
  <c r="B1" i="14"/>
  <c r="H108" i="13"/>
  <c r="H106" i="13"/>
  <c r="F106" i="13"/>
  <c r="D106" i="13"/>
  <c r="H105" i="13"/>
  <c r="F105" i="13"/>
  <c r="D105" i="13"/>
  <c r="H104" i="13"/>
  <c r="F104" i="13"/>
  <c r="D104" i="13"/>
  <c r="H103" i="13"/>
  <c r="F103" i="13"/>
  <c r="D103" i="13"/>
  <c r="H102" i="13"/>
  <c r="F102" i="13"/>
  <c r="D102" i="13"/>
  <c r="H101" i="13"/>
  <c r="F101" i="13"/>
  <c r="D101" i="13"/>
  <c r="H98" i="13"/>
  <c r="F98" i="13"/>
  <c r="D98" i="13"/>
  <c r="H90" i="13"/>
  <c r="F90" i="13"/>
  <c r="D90" i="13"/>
  <c r="H89" i="13"/>
  <c r="F89" i="13"/>
  <c r="D89" i="13"/>
  <c r="H88" i="13"/>
  <c r="F88" i="13"/>
  <c r="D88" i="13"/>
  <c r="H87" i="13"/>
  <c r="F87" i="13"/>
  <c r="D87" i="13"/>
  <c r="H86" i="13"/>
  <c r="F86" i="13"/>
  <c r="D86" i="13"/>
  <c r="H85" i="13"/>
  <c r="F85" i="13"/>
  <c r="D85" i="13"/>
  <c r="K79" i="13"/>
  <c r="J79" i="13"/>
  <c r="I79" i="13"/>
  <c r="H79" i="13"/>
  <c r="F79" i="13"/>
  <c r="D79" i="13"/>
  <c r="K78" i="13"/>
  <c r="I78" i="13"/>
  <c r="K77" i="13"/>
  <c r="J77" i="13"/>
  <c r="I77" i="13"/>
  <c r="H77" i="13"/>
  <c r="F77" i="13"/>
  <c r="D77" i="13"/>
  <c r="K76" i="13"/>
  <c r="J76" i="13"/>
  <c r="I76" i="13"/>
  <c r="H76" i="13"/>
  <c r="F76" i="13"/>
  <c r="D76" i="13"/>
  <c r="K75" i="13"/>
  <c r="I75" i="13"/>
  <c r="K74" i="13"/>
  <c r="J74" i="13"/>
  <c r="I74" i="13"/>
  <c r="H74" i="13"/>
  <c r="F74" i="13"/>
  <c r="D74" i="13"/>
  <c r="K73" i="13"/>
  <c r="J73" i="13"/>
  <c r="I73" i="13"/>
  <c r="H73" i="13"/>
  <c r="F73" i="13"/>
  <c r="D73" i="13"/>
  <c r="K72" i="13"/>
  <c r="J72" i="13"/>
  <c r="I72" i="13"/>
  <c r="H72" i="13"/>
  <c r="F72" i="13"/>
  <c r="D72" i="13"/>
  <c r="K71" i="13"/>
  <c r="J71" i="13"/>
  <c r="I71" i="13"/>
  <c r="H71" i="13"/>
  <c r="F71" i="13"/>
  <c r="D71" i="13"/>
  <c r="K70" i="13"/>
  <c r="J70" i="13"/>
  <c r="I70" i="13"/>
  <c r="H70" i="13"/>
  <c r="F70" i="13"/>
  <c r="D70" i="13"/>
  <c r="K69" i="13"/>
  <c r="J69" i="13"/>
  <c r="I69" i="13"/>
  <c r="H69" i="13"/>
  <c r="F69" i="13"/>
  <c r="D69" i="13"/>
  <c r="K68" i="13"/>
  <c r="J68" i="13"/>
  <c r="I68" i="13"/>
  <c r="H68" i="13"/>
  <c r="F68" i="13"/>
  <c r="D68" i="13"/>
  <c r="K67" i="13"/>
  <c r="J67" i="13"/>
  <c r="I67" i="13"/>
  <c r="H67" i="13"/>
  <c r="F67" i="13"/>
  <c r="D67" i="13"/>
  <c r="K66" i="13"/>
  <c r="J66" i="13"/>
  <c r="I66" i="13"/>
  <c r="H66" i="13"/>
  <c r="F66" i="13"/>
  <c r="D66" i="13"/>
  <c r="K65" i="13"/>
  <c r="J65" i="13"/>
  <c r="I65" i="13"/>
  <c r="H65" i="13"/>
  <c r="F65" i="13"/>
  <c r="D65" i="13"/>
  <c r="K64" i="13"/>
  <c r="J64" i="13"/>
  <c r="I64" i="13"/>
  <c r="H64" i="13"/>
  <c r="F64" i="13"/>
  <c r="D64" i="13"/>
  <c r="K63" i="13"/>
  <c r="J63" i="13"/>
  <c r="I63" i="13"/>
  <c r="H63" i="13"/>
  <c r="F63" i="13"/>
  <c r="K62" i="13"/>
  <c r="J62" i="13"/>
  <c r="I62" i="13"/>
  <c r="H62" i="13"/>
  <c r="F62" i="13"/>
  <c r="D62" i="13"/>
  <c r="K61" i="13"/>
  <c r="J61" i="13"/>
  <c r="I61" i="13"/>
  <c r="H61" i="13"/>
  <c r="F61" i="13"/>
  <c r="D61" i="13"/>
  <c r="K60" i="13"/>
  <c r="I60" i="13"/>
  <c r="K59" i="13"/>
  <c r="I59" i="13"/>
  <c r="F59" i="13"/>
  <c r="K58" i="13"/>
  <c r="I58" i="13"/>
  <c r="K57" i="13"/>
  <c r="J57" i="13"/>
  <c r="I57" i="13"/>
  <c r="H57" i="13"/>
  <c r="F57" i="13"/>
  <c r="K56" i="13"/>
  <c r="J56" i="13"/>
  <c r="I56" i="13"/>
  <c r="K55" i="13"/>
  <c r="I55" i="13"/>
  <c r="K54" i="13"/>
  <c r="J54" i="13"/>
  <c r="I54" i="13"/>
  <c r="F54" i="13"/>
  <c r="K53" i="13"/>
  <c r="I53" i="13"/>
  <c r="K52" i="13"/>
  <c r="J52" i="13"/>
  <c r="I52" i="13"/>
  <c r="H52" i="13"/>
  <c r="F52" i="13"/>
  <c r="D52" i="13"/>
  <c r="K51" i="13"/>
  <c r="J51" i="13"/>
  <c r="I51" i="13"/>
  <c r="H51" i="13"/>
  <c r="F51" i="13"/>
  <c r="D51" i="13"/>
  <c r="K50" i="13"/>
  <c r="J50" i="13"/>
  <c r="I50" i="13"/>
  <c r="H50" i="13"/>
  <c r="F50" i="13"/>
  <c r="D50" i="13"/>
  <c r="K49" i="13"/>
  <c r="I49" i="13"/>
  <c r="K48" i="13"/>
  <c r="I48" i="13"/>
  <c r="K47" i="13"/>
  <c r="I47" i="13"/>
  <c r="K46" i="13"/>
  <c r="I46" i="13"/>
  <c r="K45" i="13"/>
  <c r="I45" i="13"/>
  <c r="K44" i="13"/>
  <c r="I44" i="13"/>
  <c r="K43" i="13"/>
  <c r="I43" i="13"/>
  <c r="K42" i="13"/>
  <c r="I42" i="13"/>
  <c r="K41" i="13"/>
  <c r="I41" i="13"/>
  <c r="K40" i="13"/>
  <c r="I40" i="13"/>
  <c r="K39" i="13"/>
  <c r="I39" i="13"/>
  <c r="K38" i="13"/>
  <c r="I38" i="13"/>
  <c r="K37" i="13"/>
  <c r="I37" i="13"/>
  <c r="K36" i="13"/>
  <c r="I36" i="13"/>
  <c r="K35" i="13"/>
  <c r="J35" i="13"/>
  <c r="I35" i="13"/>
  <c r="F35" i="13"/>
  <c r="D35" i="13"/>
  <c r="K34" i="13"/>
  <c r="J34" i="13"/>
  <c r="I34" i="13"/>
  <c r="H34" i="13"/>
  <c r="F34" i="13"/>
  <c r="D34" i="13"/>
  <c r="K33" i="13"/>
  <c r="I33" i="13"/>
  <c r="K32" i="13"/>
  <c r="J32" i="13"/>
  <c r="I32" i="13"/>
  <c r="H32" i="13"/>
  <c r="F32" i="13"/>
  <c r="D32" i="13"/>
  <c r="K31" i="13"/>
  <c r="I31" i="13"/>
  <c r="K30" i="13"/>
  <c r="I30" i="13"/>
  <c r="K29" i="13"/>
  <c r="I29" i="13"/>
  <c r="K28" i="13"/>
  <c r="I28" i="13"/>
  <c r="K27" i="13"/>
  <c r="I27" i="13"/>
  <c r="K26" i="13"/>
  <c r="J26" i="13"/>
  <c r="I26" i="13"/>
  <c r="K25" i="13"/>
  <c r="J25" i="13"/>
  <c r="I25" i="13"/>
  <c r="H25" i="13"/>
  <c r="F25" i="13"/>
  <c r="D25" i="13"/>
  <c r="K24" i="13"/>
  <c r="I24" i="13"/>
  <c r="K23" i="13"/>
  <c r="J23" i="13"/>
  <c r="I23" i="13"/>
  <c r="F23" i="13"/>
  <c r="K22" i="13"/>
  <c r="J22" i="13"/>
  <c r="I22" i="13"/>
  <c r="K21" i="13"/>
  <c r="I21" i="13"/>
  <c r="K20" i="13"/>
  <c r="I20" i="13"/>
  <c r="K19" i="13"/>
  <c r="J19" i="13"/>
  <c r="I19" i="13"/>
  <c r="H19" i="13"/>
  <c r="F19" i="13"/>
  <c r="D19" i="13"/>
  <c r="K18" i="13"/>
  <c r="J18" i="13"/>
  <c r="I18" i="13"/>
  <c r="H18" i="13"/>
  <c r="F18" i="13"/>
  <c r="D18" i="13"/>
  <c r="K17" i="13"/>
  <c r="J17" i="13"/>
  <c r="I17" i="13"/>
  <c r="H17" i="13"/>
  <c r="F17" i="13"/>
  <c r="D17" i="13"/>
  <c r="K16" i="13"/>
  <c r="I16" i="13"/>
  <c r="K15" i="13"/>
  <c r="J15" i="13"/>
  <c r="I15" i="13"/>
  <c r="H15" i="13"/>
  <c r="F15" i="13"/>
  <c r="D15" i="13"/>
  <c r="K14" i="13"/>
  <c r="I14" i="13"/>
  <c r="F14" i="13"/>
  <c r="K13" i="13"/>
  <c r="I13" i="13"/>
  <c r="K12" i="13"/>
  <c r="I12" i="13"/>
  <c r="K11" i="13"/>
  <c r="J11" i="13"/>
  <c r="I11" i="13"/>
  <c r="H11" i="13"/>
  <c r="F11" i="13"/>
  <c r="D11" i="13"/>
  <c r="K10" i="13"/>
  <c r="I10" i="13"/>
  <c r="F10" i="13"/>
  <c r="B1" i="13"/>
  <c r="D20" i="12"/>
  <c r="J20" i="15" s="1"/>
  <c r="D19" i="12"/>
  <c r="J19" i="15" s="1"/>
  <c r="D18" i="12"/>
  <c r="J18" i="15" s="1"/>
  <c r="D17" i="12"/>
  <c r="J17" i="15" s="1"/>
  <c r="D16" i="12"/>
  <c r="J16" i="15" s="1"/>
  <c r="D15" i="12"/>
  <c r="D12" i="12"/>
  <c r="J12" i="15" s="1"/>
  <c r="D11" i="12"/>
  <c r="J11" i="15" s="1"/>
  <c r="F10" i="12"/>
  <c r="L10" i="15" s="1"/>
  <c r="D10" i="12"/>
  <c r="J10" i="15" s="1"/>
  <c r="I79" i="11"/>
  <c r="I78" i="11"/>
  <c r="I77" i="11"/>
  <c r="I76" i="11"/>
  <c r="I75" i="11"/>
  <c r="I74" i="11"/>
  <c r="I73" i="11"/>
  <c r="I72" i="11"/>
  <c r="I71" i="11"/>
  <c r="I70" i="11"/>
  <c r="I69" i="11"/>
  <c r="I68" i="11"/>
  <c r="I67" i="11"/>
  <c r="I66" i="11"/>
  <c r="I65" i="11"/>
  <c r="I64" i="11"/>
  <c r="I63" i="11"/>
  <c r="I62" i="11"/>
  <c r="I61" i="11"/>
  <c r="I60" i="11"/>
  <c r="I59" i="11"/>
  <c r="I58" i="11"/>
  <c r="I57" i="11"/>
  <c r="I56" i="11"/>
  <c r="I55" i="11"/>
  <c r="I54" i="11"/>
  <c r="I53" i="11"/>
  <c r="I52" i="11"/>
  <c r="I51" i="11"/>
  <c r="I50" i="11"/>
  <c r="I49" i="11"/>
  <c r="I48" i="11"/>
  <c r="I47" i="11"/>
  <c r="I46" i="11"/>
  <c r="I45" i="11"/>
  <c r="I44" i="11"/>
  <c r="I43" i="11"/>
  <c r="I42" i="11"/>
  <c r="I41" i="11"/>
  <c r="I40" i="11"/>
  <c r="I39" i="11"/>
  <c r="I38" i="11"/>
  <c r="I37" i="11"/>
  <c r="I36" i="11"/>
  <c r="I35" i="11"/>
  <c r="I34" i="11"/>
  <c r="I33" i="11"/>
  <c r="I32" i="11"/>
  <c r="I31" i="11"/>
  <c r="I30" i="11"/>
  <c r="I29" i="11"/>
  <c r="I28" i="11"/>
  <c r="I27" i="11"/>
  <c r="I26" i="11"/>
  <c r="I25" i="11"/>
  <c r="I24" i="11"/>
  <c r="I23" i="11"/>
  <c r="I22" i="11"/>
  <c r="I21" i="11"/>
  <c r="I20" i="11"/>
  <c r="I19" i="11"/>
  <c r="I18" i="11"/>
  <c r="I17" i="11"/>
  <c r="I16" i="11"/>
  <c r="I15" i="11"/>
  <c r="I14" i="11"/>
  <c r="I13" i="11"/>
  <c r="I12" i="11"/>
  <c r="I11" i="11"/>
  <c r="I10" i="11"/>
  <c r="I9" i="11"/>
  <c r="I8" i="11"/>
  <c r="I7" i="11"/>
  <c r="K6" i="11"/>
  <c r="H6" i="11"/>
  <c r="G6" i="11"/>
  <c r="D6" i="11"/>
  <c r="B1" i="11"/>
  <c r="F108" i="10"/>
  <c r="K92" i="10"/>
  <c r="I79" i="10"/>
  <c r="I78" i="10"/>
  <c r="I77" i="10"/>
  <c r="I76" i="10"/>
  <c r="I75" i="10"/>
  <c r="I74" i="10"/>
  <c r="I73" i="10"/>
  <c r="I72" i="10"/>
  <c r="I71" i="10"/>
  <c r="I70" i="10"/>
  <c r="I69" i="10"/>
  <c r="I68" i="10"/>
  <c r="I67" i="10"/>
  <c r="I66" i="10"/>
  <c r="I65" i="10"/>
  <c r="I64" i="10"/>
  <c r="I63" i="10"/>
  <c r="I62" i="10"/>
  <c r="I61" i="10"/>
  <c r="I60" i="10"/>
  <c r="I59" i="10"/>
  <c r="I58" i="10"/>
  <c r="I57" i="10"/>
  <c r="I56" i="10"/>
  <c r="I55" i="10"/>
  <c r="I54" i="10"/>
  <c r="I53" i="10"/>
  <c r="I52" i="10"/>
  <c r="I51" i="10"/>
  <c r="I50" i="10"/>
  <c r="I49" i="10"/>
  <c r="I48" i="10"/>
  <c r="I47" i="10"/>
  <c r="I46" i="10"/>
  <c r="I45" i="10"/>
  <c r="I44" i="10"/>
  <c r="I43" i="10"/>
  <c r="I42" i="10"/>
  <c r="I41" i="10"/>
  <c r="I40" i="10"/>
  <c r="I39" i="10"/>
  <c r="I38" i="10"/>
  <c r="I37" i="10"/>
  <c r="I36" i="10"/>
  <c r="I35" i="10"/>
  <c r="I34" i="10"/>
  <c r="I33" i="10"/>
  <c r="I32" i="10"/>
  <c r="I31" i="10"/>
  <c r="I30" i="10"/>
  <c r="I29" i="10"/>
  <c r="I28" i="10"/>
  <c r="I27" i="10"/>
  <c r="I26" i="10"/>
  <c r="I25" i="10"/>
  <c r="I24" i="10"/>
  <c r="I23" i="10"/>
  <c r="I22" i="10"/>
  <c r="I21" i="10"/>
  <c r="I20" i="10"/>
  <c r="I19" i="10"/>
  <c r="I18" i="10"/>
  <c r="I17" i="10"/>
  <c r="I16" i="10"/>
  <c r="I15" i="10"/>
  <c r="I14" i="10"/>
  <c r="I13" i="10"/>
  <c r="I12" i="10"/>
  <c r="I11" i="10"/>
  <c r="I10" i="10"/>
  <c r="K9" i="10"/>
  <c r="K7" i="10" s="1"/>
  <c r="H9" i="10"/>
  <c r="G9" i="10"/>
  <c r="D9" i="12" s="1"/>
  <c r="D9" i="10"/>
  <c r="B1" i="10"/>
  <c r="A2" i="10" s="1"/>
  <c r="D20" i="9"/>
  <c r="G20" i="15" s="1"/>
  <c r="D19" i="9"/>
  <c r="G19" i="15" s="1"/>
  <c r="D18" i="9"/>
  <c r="G18" i="15" s="1"/>
  <c r="D12" i="9"/>
  <c r="G12" i="15" s="1"/>
  <c r="D11" i="9"/>
  <c r="G11" i="15" s="1"/>
  <c r="F10" i="9"/>
  <c r="I10" i="15" s="1"/>
  <c r="D10" i="9"/>
  <c r="G10" i="15" s="1"/>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I43" i="8"/>
  <c r="I42" i="8"/>
  <c r="I41" i="8"/>
  <c r="I40" i="8"/>
  <c r="I39" i="8"/>
  <c r="I38" i="8"/>
  <c r="I37" i="8"/>
  <c r="I36" i="8"/>
  <c r="I35" i="8"/>
  <c r="I34" i="8"/>
  <c r="I33" i="8"/>
  <c r="I31" i="8"/>
  <c r="I30" i="8"/>
  <c r="I29" i="8"/>
  <c r="I28" i="8"/>
  <c r="I27" i="8"/>
  <c r="I26" i="8"/>
  <c r="I25" i="8"/>
  <c r="I24" i="8"/>
  <c r="I23" i="8"/>
  <c r="I22" i="8"/>
  <c r="I21" i="8"/>
  <c r="I20" i="8"/>
  <c r="I19" i="8"/>
  <c r="I18" i="8"/>
  <c r="I17" i="8"/>
  <c r="I16" i="8"/>
  <c r="I15" i="8"/>
  <c r="I14" i="8"/>
  <c r="I13" i="8"/>
  <c r="I12" i="8"/>
  <c r="I10" i="8"/>
  <c r="I9" i="8"/>
  <c r="I8" i="8"/>
  <c r="H6" i="8"/>
  <c r="D6" i="8"/>
  <c r="B1" i="8"/>
  <c r="F108" i="13"/>
  <c r="I79" i="7"/>
  <c r="I78" i="7"/>
  <c r="I77" i="7"/>
  <c r="I76" i="7"/>
  <c r="I75" i="7"/>
  <c r="I74" i="7"/>
  <c r="I73" i="7"/>
  <c r="I72" i="7"/>
  <c r="I71" i="7"/>
  <c r="I70" i="7"/>
  <c r="I69" i="7"/>
  <c r="I68" i="7"/>
  <c r="I67" i="7"/>
  <c r="I66" i="7"/>
  <c r="I65" i="7"/>
  <c r="I64" i="7"/>
  <c r="I63" i="7"/>
  <c r="I62" i="7"/>
  <c r="I61" i="7"/>
  <c r="I59" i="7"/>
  <c r="I58" i="7"/>
  <c r="I57" i="7"/>
  <c r="I56" i="7"/>
  <c r="I55" i="7"/>
  <c r="I54" i="7"/>
  <c r="I53" i="7"/>
  <c r="I52" i="7"/>
  <c r="I51" i="7"/>
  <c r="I50" i="7"/>
  <c r="I49" i="7"/>
  <c r="I48" i="7"/>
  <c r="I47" i="7"/>
  <c r="I46" i="7"/>
  <c r="I45" i="7"/>
  <c r="I44" i="7"/>
  <c r="I43" i="7"/>
  <c r="I41" i="7"/>
  <c r="I40" i="7"/>
  <c r="I39" i="7"/>
  <c r="I35" i="7"/>
  <c r="I34" i="7"/>
  <c r="I33" i="7"/>
  <c r="I32" i="7"/>
  <c r="I31" i="7"/>
  <c r="I30" i="7"/>
  <c r="I29" i="7"/>
  <c r="I28" i="7"/>
  <c r="I27" i="7"/>
  <c r="I26" i="7"/>
  <c r="I25" i="7"/>
  <c r="I24" i="7"/>
  <c r="I23" i="7"/>
  <c r="I22" i="7"/>
  <c r="I21" i="7"/>
  <c r="I20" i="7"/>
  <c r="I19" i="7"/>
  <c r="I18" i="7"/>
  <c r="I17" i="7"/>
  <c r="I16" i="7"/>
  <c r="I15" i="7"/>
  <c r="I14" i="7"/>
  <c r="I11" i="7"/>
  <c r="I10" i="7"/>
  <c r="H9" i="7"/>
  <c r="D9" i="7"/>
  <c r="B1" i="7"/>
  <c r="D18" i="6"/>
  <c r="D18" i="15" s="1"/>
  <c r="F10" i="6"/>
  <c r="F10" i="15" s="1"/>
  <c r="D10" i="6"/>
  <c r="D10" i="15" s="1"/>
  <c r="J79" i="5"/>
  <c r="E79" i="5"/>
  <c r="J78" i="5"/>
  <c r="E78" i="5"/>
  <c r="C78" i="14" s="1"/>
  <c r="J77" i="5"/>
  <c r="E77" i="5"/>
  <c r="F77" i="5" s="1"/>
  <c r="D77" i="14" s="1"/>
  <c r="J76" i="5"/>
  <c r="E76" i="5"/>
  <c r="F76" i="5" s="1"/>
  <c r="D76" i="14" s="1"/>
  <c r="J75" i="5"/>
  <c r="E75" i="5"/>
  <c r="J74" i="5"/>
  <c r="E74" i="5"/>
  <c r="J73" i="5"/>
  <c r="L73" i="14" s="1"/>
  <c r="E73" i="5"/>
  <c r="J72" i="5"/>
  <c r="E72" i="5"/>
  <c r="F72" i="5" s="1"/>
  <c r="D72" i="14" s="1"/>
  <c r="J71" i="5"/>
  <c r="E71" i="5"/>
  <c r="J70" i="5"/>
  <c r="E70" i="5"/>
  <c r="C70" i="14" s="1"/>
  <c r="J69" i="5"/>
  <c r="L69" i="14" s="1"/>
  <c r="E69" i="5"/>
  <c r="J68" i="5"/>
  <c r="E68" i="5"/>
  <c r="J67" i="5"/>
  <c r="E67" i="5"/>
  <c r="J66" i="5"/>
  <c r="E66" i="5"/>
  <c r="E65" i="5"/>
  <c r="E64" i="5"/>
  <c r="E63" i="5"/>
  <c r="E62" i="5"/>
  <c r="H62" i="5" s="1"/>
  <c r="J62" i="14" s="1"/>
  <c r="E61" i="5"/>
  <c r="J60" i="5"/>
  <c r="E60" i="5"/>
  <c r="F60" i="5" s="1"/>
  <c r="D60" i="14" s="1"/>
  <c r="J59" i="5"/>
  <c r="E59" i="5"/>
  <c r="J58" i="5"/>
  <c r="E58" i="5"/>
  <c r="J57" i="5"/>
  <c r="L57" i="14" s="1"/>
  <c r="E57" i="5"/>
  <c r="J56" i="5"/>
  <c r="E56" i="5"/>
  <c r="F56" i="5" s="1"/>
  <c r="D56" i="14" s="1"/>
  <c r="J55" i="5"/>
  <c r="E55" i="5"/>
  <c r="E54" i="5"/>
  <c r="H54" i="5" s="1"/>
  <c r="D11" i="6" s="1"/>
  <c r="D11" i="15" s="1"/>
  <c r="J53" i="5"/>
  <c r="L53" i="14" s="1"/>
  <c r="E53" i="5"/>
  <c r="F53" i="5" s="1"/>
  <c r="D53" i="14" s="1"/>
  <c r="J52" i="5"/>
  <c r="E52" i="5"/>
  <c r="J51" i="5"/>
  <c r="E51" i="5"/>
  <c r="E10" i="6" s="1"/>
  <c r="E10" i="15" s="1"/>
  <c r="J50" i="5"/>
  <c r="E50" i="5"/>
  <c r="J49" i="5"/>
  <c r="L49" i="14" s="1"/>
  <c r="E49" i="5"/>
  <c r="E48" i="5"/>
  <c r="J47" i="5"/>
  <c r="E47" i="5"/>
  <c r="F47" i="5" s="1"/>
  <c r="D47" i="14" s="1"/>
  <c r="J46" i="5"/>
  <c r="E46" i="5"/>
  <c r="C46" i="14" s="1"/>
  <c r="J45" i="5"/>
  <c r="L45" i="14" s="1"/>
  <c r="E45" i="5"/>
  <c r="F45" i="5" s="1"/>
  <c r="D45" i="14" s="1"/>
  <c r="J44" i="5"/>
  <c r="E44" i="5"/>
  <c r="J43" i="5"/>
  <c r="E43" i="5"/>
  <c r="J42" i="5"/>
  <c r="E42" i="5"/>
  <c r="J41" i="5"/>
  <c r="E41" i="5"/>
  <c r="J40" i="5"/>
  <c r="E40" i="5"/>
  <c r="F40" i="5" s="1"/>
  <c r="D40" i="14" s="1"/>
  <c r="J39" i="5"/>
  <c r="E39" i="5"/>
  <c r="F39" i="5" s="1"/>
  <c r="D39" i="14" s="1"/>
  <c r="J38" i="5"/>
  <c r="E38" i="5"/>
  <c r="J37" i="5"/>
  <c r="L37" i="14" s="1"/>
  <c r="E37" i="5"/>
  <c r="J36" i="5"/>
  <c r="E36" i="5"/>
  <c r="J35" i="5"/>
  <c r="E35" i="5"/>
  <c r="J34" i="5"/>
  <c r="E34" i="5"/>
  <c r="F34" i="5" s="1"/>
  <c r="D34" i="14" s="1"/>
  <c r="E33" i="5"/>
  <c r="E32" i="5"/>
  <c r="J31" i="5"/>
  <c r="E31" i="5"/>
  <c r="F31" i="5" s="1"/>
  <c r="D31" i="14" s="1"/>
  <c r="J30" i="5"/>
  <c r="E30" i="5"/>
  <c r="J29" i="5"/>
  <c r="E29" i="5"/>
  <c r="J28" i="5"/>
  <c r="E28" i="5"/>
  <c r="J27" i="5"/>
  <c r="E27" i="5"/>
  <c r="J26" i="5"/>
  <c r="E26" i="5"/>
  <c r="F26" i="5" s="1"/>
  <c r="D26" i="14" s="1"/>
  <c r="J25" i="5"/>
  <c r="E25" i="5"/>
  <c r="J24" i="5"/>
  <c r="E24" i="5"/>
  <c r="J23" i="5"/>
  <c r="E23" i="5"/>
  <c r="J22" i="5"/>
  <c r="E22" i="5"/>
  <c r="J21" i="5"/>
  <c r="E21" i="5"/>
  <c r="F21" i="5" s="1"/>
  <c r="D21" i="14" s="1"/>
  <c r="J20" i="5"/>
  <c r="E20" i="5"/>
  <c r="J19" i="5"/>
  <c r="E19" i="5"/>
  <c r="J18" i="5"/>
  <c r="E18" i="5"/>
  <c r="F18" i="5" s="1"/>
  <c r="D18" i="14" s="1"/>
  <c r="J17" i="5"/>
  <c r="E17" i="5"/>
  <c r="F17" i="5" s="1"/>
  <c r="J16" i="5"/>
  <c r="E16" i="5"/>
  <c r="J15" i="5"/>
  <c r="E15" i="5"/>
  <c r="J14" i="5"/>
  <c r="E14" i="5"/>
  <c r="C14" i="8" s="1"/>
  <c r="E14" i="8" s="1"/>
  <c r="J13" i="5"/>
  <c r="E13" i="5"/>
  <c r="F13" i="5" s="1"/>
  <c r="D13" i="14" s="1"/>
  <c r="J12" i="5"/>
  <c r="E12" i="5"/>
  <c r="E11" i="5"/>
  <c r="H11" i="5" s="1"/>
  <c r="J10" i="5"/>
  <c r="E10" i="5"/>
  <c r="J9" i="5"/>
  <c r="L9" i="14" s="1"/>
  <c r="E9" i="5"/>
  <c r="J8" i="5"/>
  <c r="E8" i="5"/>
  <c r="E7" i="5"/>
  <c r="I6" i="5"/>
  <c r="G6" i="5"/>
  <c r="D6" i="5"/>
  <c r="C6" i="5"/>
  <c r="B1" i="5"/>
  <c r="D108" i="13"/>
  <c r="J92" i="4"/>
  <c r="J79" i="4"/>
  <c r="L79" i="13" s="1"/>
  <c r="E79" i="4"/>
  <c r="C79" i="7" s="1"/>
  <c r="E79" i="7" s="1"/>
  <c r="E78" i="4"/>
  <c r="J77" i="4"/>
  <c r="E77" i="4"/>
  <c r="J76" i="4"/>
  <c r="E76" i="4"/>
  <c r="C76" i="13" s="1"/>
  <c r="J75" i="13"/>
  <c r="J74" i="4"/>
  <c r="E74" i="4"/>
  <c r="J73" i="4"/>
  <c r="E73" i="4"/>
  <c r="J72" i="4"/>
  <c r="E72" i="4"/>
  <c r="J71" i="4"/>
  <c r="E71" i="4"/>
  <c r="J70" i="4"/>
  <c r="E70" i="4"/>
  <c r="J69" i="4"/>
  <c r="E69" i="4"/>
  <c r="J68" i="4"/>
  <c r="E68" i="4"/>
  <c r="C68" i="13" s="1"/>
  <c r="J67" i="4"/>
  <c r="E67" i="4"/>
  <c r="J66" i="4"/>
  <c r="E66" i="4"/>
  <c r="J65" i="4"/>
  <c r="E65" i="4"/>
  <c r="J64" i="4"/>
  <c r="E64" i="4"/>
  <c r="J63" i="4"/>
  <c r="F63" i="4"/>
  <c r="D63" i="13" s="1"/>
  <c r="J62" i="4"/>
  <c r="E62" i="4"/>
  <c r="J61" i="4"/>
  <c r="E61" i="4"/>
  <c r="E60" i="4"/>
  <c r="H60" i="4" s="1"/>
  <c r="E59" i="4"/>
  <c r="E58" i="4"/>
  <c r="J57" i="4"/>
  <c r="E57" i="4"/>
  <c r="F57" i="4" s="1"/>
  <c r="D57" i="13" s="1"/>
  <c r="J56" i="4"/>
  <c r="E56" i="4"/>
  <c r="F56" i="4" s="1"/>
  <c r="E55" i="4"/>
  <c r="H55" i="4" s="1"/>
  <c r="J55" i="4" s="1"/>
  <c r="J54" i="4"/>
  <c r="E54" i="4"/>
  <c r="E53" i="4"/>
  <c r="J52" i="4"/>
  <c r="E52" i="4"/>
  <c r="C52" i="13" s="1"/>
  <c r="J51" i="4"/>
  <c r="L51" i="13" s="1"/>
  <c r="E51" i="4"/>
  <c r="J50" i="4"/>
  <c r="E50" i="4"/>
  <c r="E49" i="4"/>
  <c r="E48" i="4"/>
  <c r="H48" i="4" s="1"/>
  <c r="J48" i="13" s="1"/>
  <c r="E47" i="4"/>
  <c r="J47" i="4" s="1"/>
  <c r="E46" i="4"/>
  <c r="E45" i="4"/>
  <c r="E44" i="4"/>
  <c r="H44" i="4" s="1"/>
  <c r="J44" i="13" s="1"/>
  <c r="E43" i="4"/>
  <c r="E42" i="4"/>
  <c r="E41" i="4"/>
  <c r="E40" i="4"/>
  <c r="J40" i="13" s="1"/>
  <c r="E39" i="4"/>
  <c r="E38" i="4"/>
  <c r="E37" i="4"/>
  <c r="E36" i="4"/>
  <c r="H36" i="4" s="1"/>
  <c r="J35" i="4"/>
  <c r="E35" i="4"/>
  <c r="J34" i="4"/>
  <c r="E34" i="4"/>
  <c r="E33" i="4"/>
  <c r="J32" i="4"/>
  <c r="E32" i="4"/>
  <c r="C32" i="13" s="1"/>
  <c r="E31" i="4"/>
  <c r="E30" i="4"/>
  <c r="E29" i="4"/>
  <c r="E28" i="4"/>
  <c r="H28" i="4" s="1"/>
  <c r="J28" i="13" s="1"/>
  <c r="E27" i="4"/>
  <c r="J26" i="4"/>
  <c r="E26" i="4"/>
  <c r="F26" i="4" s="1"/>
  <c r="D26" i="13" s="1"/>
  <c r="J25" i="4"/>
  <c r="E25" i="4"/>
  <c r="E24" i="4"/>
  <c r="H24" i="4" s="1"/>
  <c r="J23" i="4"/>
  <c r="L23" i="13" s="1"/>
  <c r="E23" i="4"/>
  <c r="F23" i="4" s="1"/>
  <c r="D23" i="13" s="1"/>
  <c r="J22" i="4"/>
  <c r="E22" i="4"/>
  <c r="E21" i="4"/>
  <c r="E20" i="4"/>
  <c r="J20" i="13" s="1"/>
  <c r="J19" i="4"/>
  <c r="E19" i="4"/>
  <c r="J18" i="4"/>
  <c r="E18" i="4"/>
  <c r="J17" i="4"/>
  <c r="E17" i="4"/>
  <c r="E16" i="4"/>
  <c r="J15" i="4"/>
  <c r="L15" i="13" s="1"/>
  <c r="E15" i="4"/>
  <c r="C15" i="7" s="1"/>
  <c r="E15" i="7" s="1"/>
  <c r="E14" i="4"/>
  <c r="E13" i="4"/>
  <c r="E12" i="4"/>
  <c r="H12" i="4" s="1"/>
  <c r="J11" i="4"/>
  <c r="L11" i="13" s="1"/>
  <c r="E11" i="4"/>
  <c r="E10" i="4"/>
  <c r="I9" i="4"/>
  <c r="G9" i="4"/>
  <c r="D9" i="4"/>
  <c r="C9" i="4"/>
  <c r="B1" i="4"/>
  <c r="L35" i="13" l="1"/>
  <c r="L13" i="14"/>
  <c r="L25" i="14"/>
  <c r="L29" i="14"/>
  <c r="L19" i="13"/>
  <c r="L22" i="13"/>
  <c r="L67" i="13"/>
  <c r="L71" i="13"/>
  <c r="F48" i="5"/>
  <c r="H48" i="5"/>
  <c r="H78" i="4"/>
  <c r="J78" i="13" s="1"/>
  <c r="F78" i="4"/>
  <c r="D78" i="13" s="1"/>
  <c r="G7" i="4"/>
  <c r="F10" i="4"/>
  <c r="D10" i="13" s="1"/>
  <c r="H10" i="4"/>
  <c r="F13" i="4"/>
  <c r="D13" i="13" s="1"/>
  <c r="H13" i="4"/>
  <c r="F33" i="4"/>
  <c r="D33" i="13" s="1"/>
  <c r="H33" i="4"/>
  <c r="J75" i="4"/>
  <c r="L75" i="13" s="1"/>
  <c r="J48" i="4"/>
  <c r="L48" i="13" s="1"/>
  <c r="J60" i="4"/>
  <c r="F54" i="4"/>
  <c r="D54" i="13" s="1"/>
  <c r="J40" i="4"/>
  <c r="L40" i="13" s="1"/>
  <c r="J36" i="4"/>
  <c r="F30" i="4"/>
  <c r="D30" i="13" s="1"/>
  <c r="J28" i="4"/>
  <c r="L28" i="13" s="1"/>
  <c r="F14" i="4"/>
  <c r="D14" i="13" s="1"/>
  <c r="H14" i="4"/>
  <c r="H16" i="4"/>
  <c r="J16" i="4" s="1"/>
  <c r="L16" i="13" s="1"/>
  <c r="F45" i="4"/>
  <c r="D45" i="13" s="1"/>
  <c r="J20" i="4"/>
  <c r="L20" i="13" s="1"/>
  <c r="F27" i="4"/>
  <c r="D27" i="13" s="1"/>
  <c r="H27" i="4"/>
  <c r="F29" i="4"/>
  <c r="D29" i="13" s="1"/>
  <c r="H29" i="4"/>
  <c r="F31" i="4"/>
  <c r="D31" i="13" s="1"/>
  <c r="F37" i="4"/>
  <c r="D37" i="13" s="1"/>
  <c r="H37" i="4"/>
  <c r="F39" i="4"/>
  <c r="D39" i="13" s="1"/>
  <c r="F41" i="4"/>
  <c r="D41" i="13" s="1"/>
  <c r="H41" i="4"/>
  <c r="F43" i="4"/>
  <c r="D43" i="13" s="1"/>
  <c r="F59" i="4"/>
  <c r="D59" i="13" s="1"/>
  <c r="H59" i="4"/>
  <c r="J47" i="13"/>
  <c r="F46" i="4"/>
  <c r="D46" i="13" s="1"/>
  <c r="H46" i="4"/>
  <c r="F53" i="4"/>
  <c r="D53" i="13" s="1"/>
  <c r="H53" i="4"/>
  <c r="J55" i="13"/>
  <c r="F24" i="4"/>
  <c r="D24" i="13" s="1"/>
  <c r="F38" i="4"/>
  <c r="D38" i="13" s="1"/>
  <c r="H38" i="4"/>
  <c r="F42" i="4"/>
  <c r="D42" i="13" s="1"/>
  <c r="L41" i="14"/>
  <c r="J54" i="14"/>
  <c r="F33" i="5"/>
  <c r="D33" i="14" s="1"/>
  <c r="H33" i="5"/>
  <c r="F11" i="5"/>
  <c r="D11" i="14" s="1"/>
  <c r="F18" i="6"/>
  <c r="F18" i="15" s="1"/>
  <c r="F64" i="5"/>
  <c r="D64" i="14" s="1"/>
  <c r="F20" i="6"/>
  <c r="F20" i="15" s="1"/>
  <c r="J62" i="5"/>
  <c r="L62" i="14" s="1"/>
  <c r="C22" i="14"/>
  <c r="F22" i="5"/>
  <c r="D22" i="14" s="1"/>
  <c r="J54" i="5"/>
  <c r="L54" i="14" s="1"/>
  <c r="F63" i="5"/>
  <c r="D63" i="14" s="1"/>
  <c r="H63" i="5"/>
  <c r="D17" i="14"/>
  <c r="F65" i="5"/>
  <c r="D65" i="14" s="1"/>
  <c r="F61" i="5"/>
  <c r="D61" i="14" s="1"/>
  <c r="F7" i="5"/>
  <c r="C62" i="14"/>
  <c r="F62" i="5"/>
  <c r="D62" i="14" s="1"/>
  <c r="C54" i="14"/>
  <c r="F54" i="5"/>
  <c r="D48" i="14"/>
  <c r="C38" i="14"/>
  <c r="F38" i="5"/>
  <c r="D38" i="14" s="1"/>
  <c r="F32" i="5"/>
  <c r="D32" i="14" s="1"/>
  <c r="H32" i="5"/>
  <c r="C30" i="14"/>
  <c r="F30" i="5"/>
  <c r="D30" i="14" s="1"/>
  <c r="F21" i="4"/>
  <c r="D21" i="13" s="1"/>
  <c r="F58" i="4"/>
  <c r="D58" i="13" s="1"/>
  <c r="H58" i="4"/>
  <c r="F55" i="4"/>
  <c r="D55" i="13" s="1"/>
  <c r="F49" i="4"/>
  <c r="D49" i="13" s="1"/>
  <c r="J44" i="4"/>
  <c r="L44" i="13" s="1"/>
  <c r="C16" i="13"/>
  <c r="F16" i="4"/>
  <c r="D16" i="13" s="1"/>
  <c r="C20" i="13"/>
  <c r="F20" i="4"/>
  <c r="D20" i="13" s="1"/>
  <c r="F22" i="4"/>
  <c r="D22" i="13" s="1"/>
  <c r="C24" i="13"/>
  <c r="C28" i="13"/>
  <c r="F28" i="4"/>
  <c r="D28" i="13" s="1"/>
  <c r="C36" i="13"/>
  <c r="F36" i="4"/>
  <c r="D36" i="13" s="1"/>
  <c r="C40" i="13"/>
  <c r="F40" i="4"/>
  <c r="D40" i="13" s="1"/>
  <c r="C44" i="13"/>
  <c r="F44" i="4"/>
  <c r="D44" i="13" s="1"/>
  <c r="C48" i="13"/>
  <c r="F48" i="4"/>
  <c r="D48" i="13" s="1"/>
  <c r="C56" i="13"/>
  <c r="D56" i="13"/>
  <c r="C60" i="13"/>
  <c r="F60" i="4"/>
  <c r="D60" i="13" s="1"/>
  <c r="C16" i="7"/>
  <c r="E16" i="7" s="1"/>
  <c r="F16" i="7" s="1"/>
  <c r="F16" i="13" s="1"/>
  <c r="C32" i="7"/>
  <c r="E32" i="7" s="1"/>
  <c r="E32" i="13" s="1"/>
  <c r="C47" i="7"/>
  <c r="E47" i="7" s="1"/>
  <c r="F47" i="7" s="1"/>
  <c r="F47" i="13" s="1"/>
  <c r="F47" i="4"/>
  <c r="D47" i="13" s="1"/>
  <c r="D75" i="13"/>
  <c r="C40" i="7"/>
  <c r="E40" i="7" s="1"/>
  <c r="F40" i="7" s="1"/>
  <c r="F40" i="13" s="1"/>
  <c r="C56" i="7"/>
  <c r="E56" i="7" s="1"/>
  <c r="F56" i="7" s="1"/>
  <c r="F56" i="13" s="1"/>
  <c r="C12" i="13"/>
  <c r="F12" i="4"/>
  <c r="D12" i="13" s="1"/>
  <c r="E15" i="6"/>
  <c r="E15" i="15" s="1"/>
  <c r="L63" i="13"/>
  <c r="L55" i="13"/>
  <c r="C48" i="7"/>
  <c r="E48" i="7" s="1"/>
  <c r="C48" i="10" s="1"/>
  <c r="E48" i="10" s="1"/>
  <c r="L47" i="13"/>
  <c r="D7" i="7"/>
  <c r="H7" i="10"/>
  <c r="G7" i="10"/>
  <c r="K9" i="13"/>
  <c r="H7" i="7"/>
  <c r="D7" i="4"/>
  <c r="L77" i="14"/>
  <c r="L21" i="14"/>
  <c r="L17" i="14"/>
  <c r="I7" i="4"/>
  <c r="I6" i="11"/>
  <c r="D7" i="10"/>
  <c r="E12" i="6"/>
  <c r="E12" i="15" s="1"/>
  <c r="C68" i="7"/>
  <c r="E68" i="7" s="1"/>
  <c r="E68" i="13" s="1"/>
  <c r="E9" i="4"/>
  <c r="E9" i="6" s="1"/>
  <c r="C24" i="7"/>
  <c r="E24" i="7" s="1"/>
  <c r="C24" i="10" s="1"/>
  <c r="E24" i="10" s="1"/>
  <c r="C7" i="4"/>
  <c r="E15" i="13"/>
  <c r="C15" i="10"/>
  <c r="E15" i="10" s="1"/>
  <c r="G15" i="13" s="1"/>
  <c r="E79" i="13"/>
  <c r="C79" i="10"/>
  <c r="E79" i="10" s="1"/>
  <c r="G79" i="13" s="1"/>
  <c r="E14" i="14"/>
  <c r="C14" i="11"/>
  <c r="E14" i="11" s="1"/>
  <c r="C10" i="14"/>
  <c r="C10" i="8"/>
  <c r="E10" i="8" s="1"/>
  <c r="C16" i="14"/>
  <c r="C16" i="8"/>
  <c r="E16" i="8" s="1"/>
  <c r="C18" i="14"/>
  <c r="C18" i="8"/>
  <c r="E18" i="8" s="1"/>
  <c r="F18" i="8" s="1"/>
  <c r="F18" i="14" s="1"/>
  <c r="C24" i="14"/>
  <c r="C24" i="8"/>
  <c r="E24" i="8" s="1"/>
  <c r="C28" i="14"/>
  <c r="C28" i="8"/>
  <c r="E28" i="8" s="1"/>
  <c r="F28" i="8" s="1"/>
  <c r="F28" i="14" s="1"/>
  <c r="C34" i="14"/>
  <c r="C34" i="8"/>
  <c r="E34" i="8" s="1"/>
  <c r="F34" i="8" s="1"/>
  <c r="F34" i="14" s="1"/>
  <c r="C40" i="14"/>
  <c r="C40" i="8"/>
  <c r="E40" i="8" s="1"/>
  <c r="F40" i="8" s="1"/>
  <c r="F40" i="14" s="1"/>
  <c r="E20" i="6"/>
  <c r="E20" i="15" s="1"/>
  <c r="C50" i="14"/>
  <c r="C50" i="8"/>
  <c r="E50" i="8" s="1"/>
  <c r="C56" i="14"/>
  <c r="C56" i="8"/>
  <c r="E56" i="8" s="1"/>
  <c r="F56" i="8" s="1"/>
  <c r="F56" i="14" s="1"/>
  <c r="C76" i="14"/>
  <c r="C76" i="8"/>
  <c r="E76" i="8" s="1"/>
  <c r="F76" i="8" s="1"/>
  <c r="F76" i="14" s="1"/>
  <c r="C30" i="8"/>
  <c r="E30" i="8" s="1"/>
  <c r="F30" i="8" s="1"/>
  <c r="F30" i="14" s="1"/>
  <c r="C46" i="8"/>
  <c r="E46" i="8" s="1"/>
  <c r="C62" i="8"/>
  <c r="E62" i="8" s="1"/>
  <c r="F62" i="8" s="1"/>
  <c r="F62" i="14" s="1"/>
  <c r="C78" i="8"/>
  <c r="E78" i="8" s="1"/>
  <c r="C79" i="13"/>
  <c r="C10" i="13"/>
  <c r="C10" i="7"/>
  <c r="C14" i="13"/>
  <c r="C14" i="7"/>
  <c r="E14" i="7" s="1"/>
  <c r="C18" i="13"/>
  <c r="C18" i="7"/>
  <c r="E18" i="7" s="1"/>
  <c r="C22" i="13"/>
  <c r="C22" i="7"/>
  <c r="E22" i="7" s="1"/>
  <c r="F22" i="7" s="1"/>
  <c r="F22" i="13" s="1"/>
  <c r="C26" i="13"/>
  <c r="C26" i="7"/>
  <c r="E26" i="7" s="1"/>
  <c r="F26" i="7" s="1"/>
  <c r="F26" i="13" s="1"/>
  <c r="C30" i="13"/>
  <c r="C30" i="7"/>
  <c r="E30" i="7" s="1"/>
  <c r="F30" i="7" s="1"/>
  <c r="F30" i="13" s="1"/>
  <c r="C34" i="13"/>
  <c r="C34" i="7"/>
  <c r="E34" i="7" s="1"/>
  <c r="C38" i="13"/>
  <c r="C38" i="7"/>
  <c r="E38" i="7" s="1"/>
  <c r="G38" i="7" s="1"/>
  <c r="I38" i="7" s="1"/>
  <c r="C42" i="13"/>
  <c r="C42" i="7"/>
  <c r="E42" i="7" s="1"/>
  <c r="C46" i="13"/>
  <c r="C46" i="7"/>
  <c r="E46" i="7" s="1"/>
  <c r="F46" i="7" s="1"/>
  <c r="F46" i="13" s="1"/>
  <c r="C50" i="13"/>
  <c r="C50" i="7"/>
  <c r="E50" i="7" s="1"/>
  <c r="C54" i="13"/>
  <c r="C54" i="7"/>
  <c r="E54" i="7" s="1"/>
  <c r="C58" i="13"/>
  <c r="C58" i="7"/>
  <c r="E58" i="7" s="1"/>
  <c r="C62" i="13"/>
  <c r="C62" i="7"/>
  <c r="E62" i="7" s="1"/>
  <c r="C64" i="13"/>
  <c r="C64" i="7"/>
  <c r="E64" i="7" s="1"/>
  <c r="C66" i="13"/>
  <c r="C66" i="7"/>
  <c r="E66" i="7" s="1"/>
  <c r="C70" i="13"/>
  <c r="C70" i="7"/>
  <c r="E70" i="7" s="1"/>
  <c r="C72" i="13"/>
  <c r="C72" i="7"/>
  <c r="E72" i="7" s="1"/>
  <c r="C74" i="13"/>
  <c r="C74" i="7"/>
  <c r="E74" i="7" s="1"/>
  <c r="C78" i="13"/>
  <c r="C78" i="7"/>
  <c r="E78" i="7" s="1"/>
  <c r="F78" i="7" s="1"/>
  <c r="F78" i="13" s="1"/>
  <c r="C60" i="7"/>
  <c r="E60" i="7" s="1"/>
  <c r="C76" i="7"/>
  <c r="E76" i="7" s="1"/>
  <c r="I9" i="10"/>
  <c r="C47" i="13"/>
  <c r="C12" i="14"/>
  <c r="C12" i="8"/>
  <c r="E12" i="8" s="1"/>
  <c r="C44" i="14"/>
  <c r="C44" i="8"/>
  <c r="E44" i="8" s="1"/>
  <c r="C52" i="14"/>
  <c r="C52" i="8"/>
  <c r="E52" i="8" s="1"/>
  <c r="E11" i="6"/>
  <c r="E11" i="15" s="1"/>
  <c r="C64" i="14"/>
  <c r="C64" i="8"/>
  <c r="E64" i="8" s="1"/>
  <c r="F64" i="8" s="1"/>
  <c r="F64" i="14" s="1"/>
  <c r="L18" i="13"/>
  <c r="C7" i="14"/>
  <c r="C7" i="8"/>
  <c r="E6" i="5"/>
  <c r="C9" i="14"/>
  <c r="C9" i="8"/>
  <c r="E9" i="8" s="1"/>
  <c r="C11" i="14"/>
  <c r="C11" i="8"/>
  <c r="E11" i="8" s="1"/>
  <c r="C13" i="14"/>
  <c r="C13" i="8"/>
  <c r="E13" i="8" s="1"/>
  <c r="F13" i="8" s="1"/>
  <c r="C15" i="14"/>
  <c r="C15" i="8"/>
  <c r="E15" i="8" s="1"/>
  <c r="E18" i="6"/>
  <c r="E18" i="15" s="1"/>
  <c r="C17" i="14"/>
  <c r="C17" i="8"/>
  <c r="E17" i="8" s="1"/>
  <c r="F17" i="8" s="1"/>
  <c r="C19" i="14"/>
  <c r="C19" i="8"/>
  <c r="E19" i="8" s="1"/>
  <c r="C21" i="14"/>
  <c r="C21" i="8"/>
  <c r="E21" i="8" s="1"/>
  <c r="F21" i="8" s="1"/>
  <c r="F21" i="14" s="1"/>
  <c r="C23" i="14"/>
  <c r="C23" i="8"/>
  <c r="E23" i="8" s="1"/>
  <c r="C25" i="14"/>
  <c r="C25" i="8"/>
  <c r="E25" i="8" s="1"/>
  <c r="C27" i="14"/>
  <c r="C27" i="8"/>
  <c r="E27" i="8" s="1"/>
  <c r="C29" i="14"/>
  <c r="C29" i="8"/>
  <c r="E29" i="8" s="1"/>
  <c r="C31" i="14"/>
  <c r="C31" i="8"/>
  <c r="E31" i="8" s="1"/>
  <c r="F31" i="8" s="1"/>
  <c r="F31" i="14" s="1"/>
  <c r="C33" i="14"/>
  <c r="C33" i="8"/>
  <c r="E33" i="8" s="1"/>
  <c r="F33" i="8" s="1"/>
  <c r="F33" i="14" s="1"/>
  <c r="C35" i="14"/>
  <c r="C35" i="8"/>
  <c r="E35" i="8" s="1"/>
  <c r="C37" i="14"/>
  <c r="C37" i="8"/>
  <c r="E37" i="8" s="1"/>
  <c r="C39" i="14"/>
  <c r="C39" i="8"/>
  <c r="E39" i="8" s="1"/>
  <c r="F39" i="8" s="1"/>
  <c r="F39" i="14" s="1"/>
  <c r="C41" i="14"/>
  <c r="C41" i="8"/>
  <c r="E41" i="8" s="1"/>
  <c r="C43" i="14"/>
  <c r="C43" i="8"/>
  <c r="E43" i="8" s="1"/>
  <c r="C45" i="14"/>
  <c r="C45" i="8"/>
  <c r="E45" i="8" s="1"/>
  <c r="F45" i="8" s="1"/>
  <c r="F45" i="14" s="1"/>
  <c r="C47" i="14"/>
  <c r="C47" i="8"/>
  <c r="E47" i="8" s="1"/>
  <c r="F47" i="8" s="1"/>
  <c r="C49" i="14"/>
  <c r="C49" i="8"/>
  <c r="E49" i="8" s="1"/>
  <c r="C51" i="14"/>
  <c r="C51" i="8"/>
  <c r="E51" i="8" s="1"/>
  <c r="C53" i="14"/>
  <c r="C53" i="8"/>
  <c r="E53" i="8" s="1"/>
  <c r="F53" i="8" s="1"/>
  <c r="C55" i="14"/>
  <c r="C55" i="8"/>
  <c r="E55" i="8" s="1"/>
  <c r="C57" i="14"/>
  <c r="C57" i="8"/>
  <c r="E57" i="8" s="1"/>
  <c r="C59" i="14"/>
  <c r="C59" i="8"/>
  <c r="E59" i="8" s="1"/>
  <c r="C61" i="14"/>
  <c r="C61" i="8"/>
  <c r="E61" i="8" s="1"/>
  <c r="F61" i="8" s="1"/>
  <c r="C63" i="14"/>
  <c r="C63" i="8"/>
  <c r="E63" i="8" s="1"/>
  <c r="F63" i="8" s="1"/>
  <c r="F63" i="14" s="1"/>
  <c r="C65" i="14"/>
  <c r="C65" i="8"/>
  <c r="E65" i="8" s="1"/>
  <c r="F65" i="8" s="1"/>
  <c r="C67" i="14"/>
  <c r="C67" i="8"/>
  <c r="E67" i="8" s="1"/>
  <c r="C69" i="14"/>
  <c r="C69" i="8"/>
  <c r="E69" i="8" s="1"/>
  <c r="C71" i="14"/>
  <c r="C71" i="8"/>
  <c r="E71" i="8" s="1"/>
  <c r="C73" i="14"/>
  <c r="C73" i="8"/>
  <c r="E73" i="8" s="1"/>
  <c r="C75" i="14"/>
  <c r="C75" i="8"/>
  <c r="E75" i="8" s="1"/>
  <c r="C77" i="14"/>
  <c r="C77" i="8"/>
  <c r="E77" i="8" s="1"/>
  <c r="F77" i="8" s="1"/>
  <c r="F77" i="14" s="1"/>
  <c r="C79" i="14"/>
  <c r="C79" i="8"/>
  <c r="E79" i="8" s="1"/>
  <c r="E17" i="6"/>
  <c r="E17" i="15" s="1"/>
  <c r="C12" i="7"/>
  <c r="E12" i="7" s="1"/>
  <c r="C20" i="7"/>
  <c r="E20" i="7" s="1"/>
  <c r="F20" i="7" s="1"/>
  <c r="F20" i="13" s="1"/>
  <c r="C28" i="7"/>
  <c r="E28" i="7" s="1"/>
  <c r="F28" i="7" s="1"/>
  <c r="F28" i="13" s="1"/>
  <c r="C36" i="7"/>
  <c r="E36" i="7" s="1"/>
  <c r="C44" i="7"/>
  <c r="E44" i="7" s="1"/>
  <c r="F44" i="7" s="1"/>
  <c r="F44" i="13" s="1"/>
  <c r="C52" i="7"/>
  <c r="E52" i="7" s="1"/>
  <c r="C22" i="8"/>
  <c r="E22" i="8" s="1"/>
  <c r="F22" i="8" s="1"/>
  <c r="F22" i="14" s="1"/>
  <c r="C38" i="8"/>
  <c r="E38" i="8" s="1"/>
  <c r="F38" i="8" s="1"/>
  <c r="F38" i="14" s="1"/>
  <c r="C54" i="8"/>
  <c r="E54" i="8" s="1"/>
  <c r="F54" i="8" s="1"/>
  <c r="F54" i="14" s="1"/>
  <c r="C70" i="8"/>
  <c r="E70" i="8" s="1"/>
  <c r="C15" i="13"/>
  <c r="C8" i="14"/>
  <c r="C8" i="8"/>
  <c r="E8" i="8" s="1"/>
  <c r="C14" i="14"/>
  <c r="E16" i="6"/>
  <c r="E16" i="15" s="1"/>
  <c r="C20" i="14"/>
  <c r="C20" i="8"/>
  <c r="E20" i="8" s="1"/>
  <c r="C26" i="14"/>
  <c r="C26" i="8"/>
  <c r="E26" i="8" s="1"/>
  <c r="F26" i="8" s="1"/>
  <c r="F26" i="14" s="1"/>
  <c r="C32" i="14"/>
  <c r="C32" i="8"/>
  <c r="E32" i="8" s="1"/>
  <c r="C36" i="14"/>
  <c r="C36" i="8"/>
  <c r="E36" i="8" s="1"/>
  <c r="C42" i="14"/>
  <c r="C42" i="8"/>
  <c r="E42" i="8" s="1"/>
  <c r="C48" i="14"/>
  <c r="C48" i="8"/>
  <c r="E48" i="8" s="1"/>
  <c r="F48" i="8" s="1"/>
  <c r="F48" i="14" s="1"/>
  <c r="C58" i="14"/>
  <c r="C58" i="8"/>
  <c r="E58" i="8" s="1"/>
  <c r="F58" i="8" s="1"/>
  <c r="F58" i="14" s="1"/>
  <c r="C60" i="14"/>
  <c r="C60" i="8"/>
  <c r="E60" i="8" s="1"/>
  <c r="F60" i="8" s="1"/>
  <c r="F60" i="14" s="1"/>
  <c r="C66" i="14"/>
  <c r="C66" i="8"/>
  <c r="E66" i="8" s="1"/>
  <c r="C68" i="14"/>
  <c r="C68" i="8"/>
  <c r="E68" i="8" s="1"/>
  <c r="C72" i="14"/>
  <c r="C72" i="8"/>
  <c r="E72" i="8" s="1"/>
  <c r="C74" i="14"/>
  <c r="C74" i="8"/>
  <c r="E74" i="8" s="1"/>
  <c r="C11" i="13"/>
  <c r="C11" i="7"/>
  <c r="E11" i="7" s="1"/>
  <c r="C13" i="7"/>
  <c r="E13" i="7" s="1"/>
  <c r="C13" i="13"/>
  <c r="C17" i="13"/>
  <c r="C17" i="7"/>
  <c r="E17" i="7" s="1"/>
  <c r="C19" i="13"/>
  <c r="C19" i="7"/>
  <c r="E19" i="7" s="1"/>
  <c r="C21" i="7"/>
  <c r="E21" i="7" s="1"/>
  <c r="F21" i="7" s="1"/>
  <c r="F21" i="13" s="1"/>
  <c r="C21" i="13"/>
  <c r="C23" i="13"/>
  <c r="C23" i="7"/>
  <c r="E23" i="7" s="1"/>
  <c r="C25" i="13"/>
  <c r="C25" i="7"/>
  <c r="E25" i="7" s="1"/>
  <c r="C27" i="13"/>
  <c r="C27" i="7"/>
  <c r="E27" i="7" s="1"/>
  <c r="F27" i="7" s="1"/>
  <c r="F27" i="13" s="1"/>
  <c r="C29" i="7"/>
  <c r="E29" i="7" s="1"/>
  <c r="F29" i="7" s="1"/>
  <c r="F29" i="13" s="1"/>
  <c r="C29" i="13"/>
  <c r="C31" i="7"/>
  <c r="E31" i="7" s="1"/>
  <c r="F31" i="7" s="1"/>
  <c r="F31" i="13" s="1"/>
  <c r="C31" i="13"/>
  <c r="C33" i="13"/>
  <c r="C33" i="7"/>
  <c r="E33" i="7" s="1"/>
  <c r="F33" i="7" s="1"/>
  <c r="F33" i="13" s="1"/>
  <c r="C35" i="13"/>
  <c r="C35" i="7"/>
  <c r="E35" i="7" s="1"/>
  <c r="C37" i="7"/>
  <c r="E37" i="7" s="1"/>
  <c r="C37" i="13"/>
  <c r="C39" i="7"/>
  <c r="E39" i="7" s="1"/>
  <c r="F39" i="7" s="1"/>
  <c r="F39" i="13" s="1"/>
  <c r="C39" i="13"/>
  <c r="C41" i="13"/>
  <c r="C41" i="7"/>
  <c r="E41" i="7" s="1"/>
  <c r="F41" i="7" s="1"/>
  <c r="F41" i="13" s="1"/>
  <c r="C43" i="13"/>
  <c r="C43" i="7"/>
  <c r="E43" i="7" s="1"/>
  <c r="F43" i="7" s="1"/>
  <c r="F43" i="13" s="1"/>
  <c r="C45" i="7"/>
  <c r="E45" i="7" s="1"/>
  <c r="F45" i="7" s="1"/>
  <c r="F45" i="13" s="1"/>
  <c r="C45" i="13"/>
  <c r="C49" i="13"/>
  <c r="C49" i="7"/>
  <c r="E49" i="7" s="1"/>
  <c r="F49" i="7" s="1"/>
  <c r="F49" i="13" s="1"/>
  <c r="C51" i="13"/>
  <c r="C51" i="7"/>
  <c r="E51" i="7" s="1"/>
  <c r="C53" i="7"/>
  <c r="E53" i="7" s="1"/>
  <c r="F53" i="7" s="1"/>
  <c r="F53" i="13" s="1"/>
  <c r="C53" i="13"/>
  <c r="C55" i="13"/>
  <c r="C55" i="7"/>
  <c r="E55" i="7" s="1"/>
  <c r="C57" i="13"/>
  <c r="C57" i="7"/>
  <c r="E57" i="7" s="1"/>
  <c r="C59" i="13"/>
  <c r="C59" i="7"/>
  <c r="E59" i="7" s="1"/>
  <c r="C61" i="7"/>
  <c r="E61" i="7" s="1"/>
  <c r="C61" i="13"/>
  <c r="C63" i="7"/>
  <c r="E63" i="7" s="1"/>
  <c r="C63" i="13"/>
  <c r="C65" i="13"/>
  <c r="C65" i="7"/>
  <c r="E65" i="7" s="1"/>
  <c r="C67" i="13"/>
  <c r="C67" i="7"/>
  <c r="E67" i="7" s="1"/>
  <c r="C69" i="7"/>
  <c r="E69" i="7" s="1"/>
  <c r="C69" i="13"/>
  <c r="C71" i="7"/>
  <c r="E71" i="7" s="1"/>
  <c r="C71" i="13"/>
  <c r="C73" i="13"/>
  <c r="C73" i="7"/>
  <c r="E73" i="7" s="1"/>
  <c r="C75" i="13"/>
  <c r="C75" i="7"/>
  <c r="E75" i="7" s="1"/>
  <c r="F75" i="7" s="1"/>
  <c r="C77" i="7"/>
  <c r="E77" i="7" s="1"/>
  <c r="C77" i="13"/>
  <c r="E19" i="6"/>
  <c r="E19" i="15" s="1"/>
  <c r="L26" i="13"/>
  <c r="L32" i="13"/>
  <c r="L34" i="13"/>
  <c r="L50" i="13"/>
  <c r="L52" i="13"/>
  <c r="L54" i="13"/>
  <c r="L56" i="13"/>
  <c r="L62" i="13"/>
  <c r="L64" i="13"/>
  <c r="L66" i="13"/>
  <c r="L68" i="13"/>
  <c r="L70" i="13"/>
  <c r="L72" i="13"/>
  <c r="L74" i="13"/>
  <c r="L76" i="13"/>
  <c r="L15" i="14"/>
  <c r="L19" i="14"/>
  <c r="L23" i="14"/>
  <c r="L27" i="14"/>
  <c r="L31" i="14"/>
  <c r="L35" i="14"/>
  <c r="L39" i="14"/>
  <c r="L43" i="14"/>
  <c r="L47" i="14"/>
  <c r="L51" i="14"/>
  <c r="L55" i="14"/>
  <c r="L59" i="14"/>
  <c r="L67" i="14"/>
  <c r="L71" i="14"/>
  <c r="L75" i="14"/>
  <c r="L79" i="14"/>
  <c r="J9" i="15"/>
  <c r="J13" i="15" s="1"/>
  <c r="D13" i="12"/>
  <c r="K6" i="14"/>
  <c r="L17" i="13"/>
  <c r="L25" i="13"/>
  <c r="L57" i="13"/>
  <c r="L61" i="13"/>
  <c r="L65" i="13"/>
  <c r="L69" i="13"/>
  <c r="L73" i="13"/>
  <c r="L77" i="13"/>
  <c r="L8" i="14"/>
  <c r="L10" i="14"/>
  <c r="L12" i="14"/>
  <c r="L14" i="14"/>
  <c r="L16" i="14"/>
  <c r="L18" i="14"/>
  <c r="L20" i="14"/>
  <c r="L22" i="14"/>
  <c r="L24" i="14"/>
  <c r="L26" i="14"/>
  <c r="L28" i="14"/>
  <c r="L30" i="14"/>
  <c r="L34" i="14"/>
  <c r="L36" i="14"/>
  <c r="L38" i="14"/>
  <c r="L40" i="14"/>
  <c r="L42" i="14"/>
  <c r="L44" i="14"/>
  <c r="L46" i="14"/>
  <c r="L50" i="14"/>
  <c r="L52" i="14"/>
  <c r="L56" i="14"/>
  <c r="L58" i="14"/>
  <c r="L60" i="14"/>
  <c r="L66" i="14"/>
  <c r="L68" i="14"/>
  <c r="L70" i="14"/>
  <c r="L72" i="14"/>
  <c r="L74" i="14"/>
  <c r="L76" i="14"/>
  <c r="L78" i="14"/>
  <c r="J15" i="15"/>
  <c r="J21" i="15" s="1"/>
  <c r="D21" i="12"/>
  <c r="I9" i="13"/>
  <c r="I6" i="14"/>
  <c r="C56" i="10" l="1"/>
  <c r="E56" i="10" s="1"/>
  <c r="G56" i="13" s="1"/>
  <c r="F17" i="6"/>
  <c r="F17" i="15" s="1"/>
  <c r="J48" i="5"/>
  <c r="L48" i="14" s="1"/>
  <c r="J48" i="14"/>
  <c r="D20" i="6"/>
  <c r="D20" i="15" s="1"/>
  <c r="J78" i="4"/>
  <c r="L78" i="13" s="1"/>
  <c r="F13" i="7"/>
  <c r="F13" i="13" s="1"/>
  <c r="G13" i="7"/>
  <c r="I13" i="7" s="1"/>
  <c r="J13" i="4"/>
  <c r="F42" i="7"/>
  <c r="F42" i="13" s="1"/>
  <c r="G42" i="7"/>
  <c r="I42" i="7" s="1"/>
  <c r="F37" i="7"/>
  <c r="F37" i="13" s="1"/>
  <c r="G37" i="7"/>
  <c r="I37" i="7" s="1"/>
  <c r="F60" i="7"/>
  <c r="F60" i="13" s="1"/>
  <c r="G60" i="7"/>
  <c r="J33" i="13"/>
  <c r="J33" i="4"/>
  <c r="L33" i="13" s="1"/>
  <c r="J10" i="4"/>
  <c r="L10" i="13" s="1"/>
  <c r="J10" i="13"/>
  <c r="F36" i="7"/>
  <c r="F36" i="13" s="1"/>
  <c r="G36" i="7"/>
  <c r="E40" i="13"/>
  <c r="J30" i="13"/>
  <c r="J30" i="4"/>
  <c r="L30" i="13" s="1"/>
  <c r="J53" i="13"/>
  <c r="J53" i="4"/>
  <c r="L53" i="13" s="1"/>
  <c r="J42" i="13"/>
  <c r="J42" i="4"/>
  <c r="J24" i="13"/>
  <c r="J24" i="4"/>
  <c r="L24" i="13" s="1"/>
  <c r="J59" i="4"/>
  <c r="L59" i="13" s="1"/>
  <c r="J59" i="13"/>
  <c r="J41" i="4"/>
  <c r="L41" i="13" s="1"/>
  <c r="J41" i="13"/>
  <c r="J37" i="4"/>
  <c r="J29" i="4"/>
  <c r="L29" i="13" s="1"/>
  <c r="J29" i="13"/>
  <c r="J16" i="13"/>
  <c r="J46" i="4"/>
  <c r="L46" i="13" s="1"/>
  <c r="J46" i="13"/>
  <c r="J45" i="13"/>
  <c r="J45" i="4"/>
  <c r="L45" i="13" s="1"/>
  <c r="J14" i="4"/>
  <c r="L14" i="13" s="1"/>
  <c r="J14" i="13"/>
  <c r="J38" i="13"/>
  <c r="J38" i="4"/>
  <c r="L38" i="13" s="1"/>
  <c r="J43" i="13"/>
  <c r="J43" i="4"/>
  <c r="L43" i="13" s="1"/>
  <c r="J39" i="13"/>
  <c r="J39" i="4"/>
  <c r="L39" i="13" s="1"/>
  <c r="J31" i="4"/>
  <c r="L31" i="13" s="1"/>
  <c r="J31" i="13"/>
  <c r="J27" i="4"/>
  <c r="L27" i="13" s="1"/>
  <c r="J27" i="13"/>
  <c r="F19" i="6"/>
  <c r="F19" i="15" s="1"/>
  <c r="F11" i="8"/>
  <c r="F11" i="14" s="1"/>
  <c r="G11" i="8"/>
  <c r="J11" i="5"/>
  <c r="D17" i="6"/>
  <c r="D17" i="15" s="1"/>
  <c r="J63" i="5"/>
  <c r="L63" i="14" s="1"/>
  <c r="J63" i="14"/>
  <c r="J64" i="14"/>
  <c r="J64" i="5"/>
  <c r="L64" i="14" s="1"/>
  <c r="J33" i="14"/>
  <c r="J33" i="5"/>
  <c r="L33" i="14" s="1"/>
  <c r="J65" i="5"/>
  <c r="L65" i="14" s="1"/>
  <c r="D19" i="6"/>
  <c r="D19" i="15" s="1"/>
  <c r="J65" i="14"/>
  <c r="F12" i="6"/>
  <c r="F12" i="15" s="1"/>
  <c r="J61" i="5"/>
  <c r="L61" i="14" s="1"/>
  <c r="J61" i="14"/>
  <c r="D12" i="6"/>
  <c r="D12" i="15" s="1"/>
  <c r="D15" i="6"/>
  <c r="D15" i="15" s="1"/>
  <c r="J7" i="5"/>
  <c r="F11" i="6"/>
  <c r="F11" i="15" s="1"/>
  <c r="D54" i="14"/>
  <c r="F16" i="6"/>
  <c r="F16" i="15" s="1"/>
  <c r="D16" i="6"/>
  <c r="H6" i="5"/>
  <c r="J32" i="5"/>
  <c r="F32" i="8"/>
  <c r="F32" i="14" s="1"/>
  <c r="F17" i="14"/>
  <c r="F18" i="9"/>
  <c r="I18" i="15" s="1"/>
  <c r="J21" i="13"/>
  <c r="J21" i="4"/>
  <c r="L21" i="13" s="1"/>
  <c r="J58" i="4"/>
  <c r="L58" i="13" s="1"/>
  <c r="J58" i="13"/>
  <c r="J49" i="13"/>
  <c r="J49" i="4"/>
  <c r="L49" i="13" s="1"/>
  <c r="C40" i="10"/>
  <c r="E40" i="10" s="1"/>
  <c r="F40" i="10" s="1"/>
  <c r="H40" i="13" s="1"/>
  <c r="E16" i="13"/>
  <c r="C16" i="10"/>
  <c r="E16" i="10" s="1"/>
  <c r="F16" i="10" s="1"/>
  <c r="H16" i="13" s="1"/>
  <c r="C47" i="10"/>
  <c r="E47" i="10" s="1"/>
  <c r="F47" i="10" s="1"/>
  <c r="H47" i="13" s="1"/>
  <c r="E47" i="13"/>
  <c r="G24" i="13"/>
  <c r="F24" i="10"/>
  <c r="H24" i="13" s="1"/>
  <c r="F55" i="7"/>
  <c r="F55" i="13" s="1"/>
  <c r="G48" i="13"/>
  <c r="F48" i="10"/>
  <c r="H48" i="13" s="1"/>
  <c r="F58" i="7"/>
  <c r="F58" i="13" s="1"/>
  <c r="C32" i="10"/>
  <c r="E32" i="10" s="1"/>
  <c r="G32" i="13" s="1"/>
  <c r="E48" i="13"/>
  <c r="F48" i="7"/>
  <c r="F48" i="13" s="1"/>
  <c r="C68" i="10"/>
  <c r="E68" i="10" s="1"/>
  <c r="G68" i="13" s="1"/>
  <c r="E56" i="13"/>
  <c r="F38" i="7"/>
  <c r="F38" i="13" s="1"/>
  <c r="E24" i="13"/>
  <c r="F24" i="7"/>
  <c r="F24" i="13" s="1"/>
  <c r="D9" i="13"/>
  <c r="J12" i="4"/>
  <c r="H9" i="4"/>
  <c r="F12" i="7"/>
  <c r="G12" i="7"/>
  <c r="F9" i="4"/>
  <c r="F9" i="6" s="1"/>
  <c r="F47" i="14"/>
  <c r="F20" i="9"/>
  <c r="I20" i="15" s="1"/>
  <c r="F11" i="9"/>
  <c r="I11" i="15" s="1"/>
  <c r="F53" i="14"/>
  <c r="F65" i="14"/>
  <c r="F19" i="9"/>
  <c r="I19" i="15" s="1"/>
  <c r="F16" i="9"/>
  <c r="I16" i="15" s="1"/>
  <c r="F75" i="13"/>
  <c r="K7" i="13"/>
  <c r="F12" i="9"/>
  <c r="I12" i="15" s="1"/>
  <c r="F61" i="14"/>
  <c r="D22" i="12"/>
  <c r="J22" i="15"/>
  <c r="F13" i="14"/>
  <c r="I7" i="10"/>
  <c r="F6" i="5"/>
  <c r="F15" i="6"/>
  <c r="D7" i="14"/>
  <c r="D6" i="14" s="1"/>
  <c r="F83" i="4"/>
  <c r="E7" i="4"/>
  <c r="E65" i="13"/>
  <c r="C65" i="10"/>
  <c r="E65" i="10" s="1"/>
  <c r="G65" i="13" s="1"/>
  <c r="E57" i="13"/>
  <c r="C57" i="10"/>
  <c r="E57" i="10" s="1"/>
  <c r="G57" i="13" s="1"/>
  <c r="E43" i="13"/>
  <c r="C43" i="10"/>
  <c r="E43" i="10" s="1"/>
  <c r="F43" i="10" s="1"/>
  <c r="E35" i="13"/>
  <c r="C35" i="10"/>
  <c r="E35" i="10" s="1"/>
  <c r="F35" i="10" s="1"/>
  <c r="E27" i="13"/>
  <c r="C27" i="10"/>
  <c r="E27" i="10" s="1"/>
  <c r="F27" i="10" s="1"/>
  <c r="E23" i="13"/>
  <c r="C23" i="10"/>
  <c r="E23" i="10" s="1"/>
  <c r="E19" i="13"/>
  <c r="C19" i="10"/>
  <c r="E19" i="10" s="1"/>
  <c r="G19" i="13" s="1"/>
  <c r="E74" i="14"/>
  <c r="C74" i="11"/>
  <c r="E74" i="11" s="1"/>
  <c r="G74" i="14" s="1"/>
  <c r="E68" i="14"/>
  <c r="C68" i="11"/>
  <c r="E68" i="11" s="1"/>
  <c r="G68" i="14" s="1"/>
  <c r="E60" i="14"/>
  <c r="C60" i="11"/>
  <c r="E60" i="11" s="1"/>
  <c r="E48" i="14"/>
  <c r="C48" i="11"/>
  <c r="E48" i="11" s="1"/>
  <c r="E36" i="14"/>
  <c r="C36" i="11"/>
  <c r="E36" i="11" s="1"/>
  <c r="G36" i="14" s="1"/>
  <c r="E26" i="14"/>
  <c r="C26" i="11"/>
  <c r="E26" i="11" s="1"/>
  <c r="E44" i="13"/>
  <c r="C44" i="10"/>
  <c r="E44" i="10" s="1"/>
  <c r="E15" i="14"/>
  <c r="C15" i="11"/>
  <c r="E15" i="11" s="1"/>
  <c r="E18" i="9"/>
  <c r="H18" i="15" s="1"/>
  <c r="C74" i="10"/>
  <c r="E74" i="10" s="1"/>
  <c r="G74" i="13" s="1"/>
  <c r="E74" i="13"/>
  <c r="E70" i="13"/>
  <c r="C70" i="10"/>
  <c r="E70" i="10" s="1"/>
  <c r="G70" i="13" s="1"/>
  <c r="E64" i="13"/>
  <c r="C64" i="10"/>
  <c r="E64" i="10" s="1"/>
  <c r="G64" i="13" s="1"/>
  <c r="C58" i="10"/>
  <c r="E58" i="10" s="1"/>
  <c r="F58" i="10" s="1"/>
  <c r="E58" i="13"/>
  <c r="C50" i="10"/>
  <c r="E50" i="10" s="1"/>
  <c r="G50" i="13" s="1"/>
  <c r="E50" i="13"/>
  <c r="C42" i="10"/>
  <c r="E42" i="10" s="1"/>
  <c r="F42" i="10" s="1"/>
  <c r="E42" i="13"/>
  <c r="C34" i="10"/>
  <c r="E34" i="10" s="1"/>
  <c r="G34" i="13" s="1"/>
  <c r="E34" i="13"/>
  <c r="C26" i="10"/>
  <c r="E26" i="10" s="1"/>
  <c r="E26" i="13"/>
  <c r="C18" i="10"/>
  <c r="E18" i="10" s="1"/>
  <c r="G18" i="13" s="1"/>
  <c r="E18" i="13"/>
  <c r="E10" i="7"/>
  <c r="C9" i="7"/>
  <c r="E62" i="14"/>
  <c r="C62" i="11"/>
  <c r="E62" i="11" s="1"/>
  <c r="F62" i="11" s="1"/>
  <c r="H62" i="14" s="1"/>
  <c r="E19" i="9"/>
  <c r="H19" i="15" s="1"/>
  <c r="E56" i="14"/>
  <c r="C56" i="11"/>
  <c r="E56" i="11" s="1"/>
  <c r="E77" i="13"/>
  <c r="C77" i="10"/>
  <c r="E77" i="10" s="1"/>
  <c r="G77" i="13" s="1"/>
  <c r="E69" i="13"/>
  <c r="C69" i="10"/>
  <c r="E69" i="10" s="1"/>
  <c r="G69" i="13" s="1"/>
  <c r="E61" i="13"/>
  <c r="C61" i="10"/>
  <c r="E61" i="10" s="1"/>
  <c r="G61" i="13" s="1"/>
  <c r="E53" i="13"/>
  <c r="C53" i="10"/>
  <c r="E53" i="10" s="1"/>
  <c r="E39" i="13"/>
  <c r="C39" i="10"/>
  <c r="E39" i="10" s="1"/>
  <c r="F39" i="10" s="1"/>
  <c r="E31" i="13"/>
  <c r="C31" i="10"/>
  <c r="E31" i="10" s="1"/>
  <c r="F31" i="10" s="1"/>
  <c r="E13" i="13"/>
  <c r="C13" i="10"/>
  <c r="E13" i="10" s="1"/>
  <c r="E38" i="14"/>
  <c r="C38" i="11"/>
  <c r="E38" i="11" s="1"/>
  <c r="E36" i="13"/>
  <c r="C36" i="10"/>
  <c r="E36" i="10" s="1"/>
  <c r="F36" i="10" s="1"/>
  <c r="E77" i="14"/>
  <c r="C77" i="11"/>
  <c r="E77" i="11" s="1"/>
  <c r="G77" i="14" s="1"/>
  <c r="E73" i="14"/>
  <c r="C73" i="11"/>
  <c r="E73" i="11" s="1"/>
  <c r="G73" i="14" s="1"/>
  <c r="E69" i="14"/>
  <c r="C69" i="11"/>
  <c r="E69" i="11" s="1"/>
  <c r="G69" i="14" s="1"/>
  <c r="E65" i="14"/>
  <c r="C65" i="11"/>
  <c r="E65" i="11" s="1"/>
  <c r="E61" i="14"/>
  <c r="C61" i="11"/>
  <c r="E61" i="11" s="1"/>
  <c r="E57" i="14"/>
  <c r="C57" i="11"/>
  <c r="E57" i="11" s="1"/>
  <c r="E53" i="14"/>
  <c r="C53" i="11"/>
  <c r="E53" i="11" s="1"/>
  <c r="E49" i="14"/>
  <c r="C49" i="11"/>
  <c r="E49" i="11" s="1"/>
  <c r="G49" i="14" s="1"/>
  <c r="E45" i="14"/>
  <c r="C45" i="11"/>
  <c r="E45" i="11" s="1"/>
  <c r="E41" i="14"/>
  <c r="C41" i="11"/>
  <c r="E41" i="11" s="1"/>
  <c r="F41" i="11" s="1"/>
  <c r="H41" i="14" s="1"/>
  <c r="E12" i="9"/>
  <c r="H12" i="15" s="1"/>
  <c r="E37" i="14"/>
  <c r="C37" i="11"/>
  <c r="E37" i="11" s="1"/>
  <c r="G37" i="14" s="1"/>
  <c r="E33" i="14"/>
  <c r="C33" i="11"/>
  <c r="E33" i="11" s="1"/>
  <c r="E29" i="14"/>
  <c r="C29" i="11"/>
  <c r="E29" i="11" s="1"/>
  <c r="G29" i="14" s="1"/>
  <c r="E25" i="14"/>
  <c r="C25" i="11"/>
  <c r="E25" i="11" s="1"/>
  <c r="G25" i="14" s="1"/>
  <c r="E21" i="14"/>
  <c r="C21" i="11"/>
  <c r="E21" i="11" s="1"/>
  <c r="E17" i="14"/>
  <c r="C17" i="11"/>
  <c r="E17" i="11" s="1"/>
  <c r="C6" i="8"/>
  <c r="E7" i="8"/>
  <c r="E52" i="14"/>
  <c r="C52" i="11"/>
  <c r="E52" i="11" s="1"/>
  <c r="E11" i="9"/>
  <c r="H11" i="15" s="1"/>
  <c r="E12" i="14"/>
  <c r="C12" i="11"/>
  <c r="E12" i="11" s="1"/>
  <c r="G12" i="14" s="1"/>
  <c r="E76" i="13"/>
  <c r="C76" i="10"/>
  <c r="E76" i="10" s="1"/>
  <c r="G76" i="13" s="1"/>
  <c r="C9" i="13"/>
  <c r="E46" i="14"/>
  <c r="C46" i="11"/>
  <c r="E46" i="11" s="1"/>
  <c r="G46" i="14" s="1"/>
  <c r="E40" i="14"/>
  <c r="C40" i="11"/>
  <c r="E40" i="11" s="1"/>
  <c r="F40" i="11" s="1"/>
  <c r="H40" i="14" s="1"/>
  <c r="E20" i="9"/>
  <c r="H20" i="15" s="1"/>
  <c r="E28" i="14"/>
  <c r="C28" i="11"/>
  <c r="E28" i="11" s="1"/>
  <c r="E18" i="14"/>
  <c r="C18" i="11"/>
  <c r="E18" i="11" s="1"/>
  <c r="E10" i="14"/>
  <c r="C10" i="11"/>
  <c r="E10" i="11" s="1"/>
  <c r="G10" i="14" s="1"/>
  <c r="E9" i="15"/>
  <c r="E13" i="15" s="1"/>
  <c r="E13" i="6"/>
  <c r="E73" i="13"/>
  <c r="C73" i="10"/>
  <c r="E73" i="10" s="1"/>
  <c r="G73" i="13" s="1"/>
  <c r="E49" i="13"/>
  <c r="C49" i="10"/>
  <c r="E49" i="10" s="1"/>
  <c r="F49" i="10" s="1"/>
  <c r="E54" i="14"/>
  <c r="C54" i="11"/>
  <c r="E54" i="11" s="1"/>
  <c r="E12" i="13"/>
  <c r="C12" i="10"/>
  <c r="E12" i="10" s="1"/>
  <c r="F12" i="10" s="1"/>
  <c r="E11" i="14"/>
  <c r="C11" i="11"/>
  <c r="E11" i="11" s="1"/>
  <c r="F11" i="11" s="1"/>
  <c r="H11" i="14" s="1"/>
  <c r="E17" i="9"/>
  <c r="H17" i="15" s="1"/>
  <c r="G14" i="14"/>
  <c r="I7" i="13"/>
  <c r="E75" i="13"/>
  <c r="C75" i="10"/>
  <c r="E75" i="10" s="1"/>
  <c r="F75" i="10" s="1"/>
  <c r="E67" i="13"/>
  <c r="C67" i="10"/>
  <c r="E67" i="10" s="1"/>
  <c r="G67" i="13" s="1"/>
  <c r="E59" i="13"/>
  <c r="C59" i="10"/>
  <c r="E59" i="10" s="1"/>
  <c r="F59" i="10" s="1"/>
  <c r="E55" i="13"/>
  <c r="C55" i="10"/>
  <c r="E55" i="10" s="1"/>
  <c r="F55" i="10" s="1"/>
  <c r="E51" i="13"/>
  <c r="C51" i="10"/>
  <c r="E51" i="10" s="1"/>
  <c r="G51" i="13" s="1"/>
  <c r="E41" i="13"/>
  <c r="C41" i="10"/>
  <c r="E41" i="10" s="1"/>
  <c r="E33" i="13"/>
  <c r="C33" i="10"/>
  <c r="E33" i="10" s="1"/>
  <c r="E25" i="13"/>
  <c r="C25" i="10"/>
  <c r="E25" i="10" s="1"/>
  <c r="G25" i="13" s="1"/>
  <c r="E17" i="13"/>
  <c r="C17" i="10"/>
  <c r="E17" i="10" s="1"/>
  <c r="G17" i="13" s="1"/>
  <c r="E11" i="13"/>
  <c r="C11" i="10"/>
  <c r="E11" i="10" s="1"/>
  <c r="G11" i="13" s="1"/>
  <c r="E72" i="14"/>
  <c r="C72" i="11"/>
  <c r="E72" i="11" s="1"/>
  <c r="E66" i="14"/>
  <c r="C66" i="11"/>
  <c r="E66" i="11" s="1"/>
  <c r="G66" i="14" s="1"/>
  <c r="E58" i="14"/>
  <c r="C58" i="11"/>
  <c r="E58" i="11" s="1"/>
  <c r="E42" i="14"/>
  <c r="C42" i="11"/>
  <c r="E42" i="11" s="1"/>
  <c r="G42" i="14" s="1"/>
  <c r="E32" i="14"/>
  <c r="C32" i="11"/>
  <c r="E32" i="11" s="1"/>
  <c r="E20" i="14"/>
  <c r="C20" i="11"/>
  <c r="E20" i="11" s="1"/>
  <c r="G20" i="14" s="1"/>
  <c r="E8" i="14"/>
  <c r="C8" i="11"/>
  <c r="E8" i="11" s="1"/>
  <c r="G8" i="14" s="1"/>
  <c r="E22" i="14"/>
  <c r="C22" i="11"/>
  <c r="E22" i="11" s="1"/>
  <c r="E28" i="13"/>
  <c r="C28" i="10"/>
  <c r="E28" i="10" s="1"/>
  <c r="F28" i="10" s="1"/>
  <c r="E13" i="14"/>
  <c r="C13" i="11"/>
  <c r="E13" i="11" s="1"/>
  <c r="E9" i="14"/>
  <c r="C9" i="11"/>
  <c r="E9" i="11" s="1"/>
  <c r="G9" i="14" s="1"/>
  <c r="C6" i="14"/>
  <c r="E64" i="14"/>
  <c r="C64" i="11"/>
  <c r="E64" i="11" s="1"/>
  <c r="E60" i="13"/>
  <c r="C60" i="10"/>
  <c r="E60" i="10" s="1"/>
  <c r="E78" i="13"/>
  <c r="C78" i="10"/>
  <c r="E78" i="10" s="1"/>
  <c r="E72" i="13"/>
  <c r="C72" i="10"/>
  <c r="E72" i="10" s="1"/>
  <c r="G72" i="13" s="1"/>
  <c r="C66" i="10"/>
  <c r="E66" i="10" s="1"/>
  <c r="G66" i="13" s="1"/>
  <c r="E66" i="13"/>
  <c r="E62" i="13"/>
  <c r="C62" i="10"/>
  <c r="E62" i="10" s="1"/>
  <c r="G62" i="13" s="1"/>
  <c r="E54" i="13"/>
  <c r="C54" i="10"/>
  <c r="E54" i="10" s="1"/>
  <c r="E46" i="13"/>
  <c r="C46" i="10"/>
  <c r="E46" i="10" s="1"/>
  <c r="E38" i="13"/>
  <c r="C38" i="10"/>
  <c r="E38" i="10" s="1"/>
  <c r="F38" i="10" s="1"/>
  <c r="E30" i="13"/>
  <c r="C30" i="10"/>
  <c r="E30" i="10" s="1"/>
  <c r="E22" i="13"/>
  <c r="C22" i="10"/>
  <c r="E22" i="10" s="1"/>
  <c r="E14" i="13"/>
  <c r="C14" i="10"/>
  <c r="E14" i="10" s="1"/>
  <c r="F14" i="10" s="1"/>
  <c r="E30" i="14"/>
  <c r="C30" i="11"/>
  <c r="E30" i="11" s="1"/>
  <c r="E76" i="14"/>
  <c r="C76" i="11"/>
  <c r="E76" i="11" s="1"/>
  <c r="E50" i="14"/>
  <c r="C50" i="11"/>
  <c r="E50" i="11" s="1"/>
  <c r="G50" i="14" s="1"/>
  <c r="E21" i="6"/>
  <c r="E71" i="13"/>
  <c r="C71" i="10"/>
  <c r="E71" i="10" s="1"/>
  <c r="G71" i="13" s="1"/>
  <c r="E63" i="13"/>
  <c r="C63" i="10"/>
  <c r="E63" i="10" s="1"/>
  <c r="G63" i="13" s="1"/>
  <c r="E45" i="13"/>
  <c r="C45" i="10"/>
  <c r="E45" i="10" s="1"/>
  <c r="E37" i="13"/>
  <c r="C37" i="10"/>
  <c r="E37" i="10" s="1"/>
  <c r="E29" i="13"/>
  <c r="C29" i="10"/>
  <c r="E29" i="10" s="1"/>
  <c r="E21" i="13"/>
  <c r="C21" i="10"/>
  <c r="E21" i="10" s="1"/>
  <c r="E70" i="14"/>
  <c r="C70" i="11"/>
  <c r="E70" i="11" s="1"/>
  <c r="G70" i="14" s="1"/>
  <c r="E52" i="13"/>
  <c r="C52" i="10"/>
  <c r="E52" i="10" s="1"/>
  <c r="G52" i="13" s="1"/>
  <c r="E20" i="13"/>
  <c r="C20" i="10"/>
  <c r="E20" i="10" s="1"/>
  <c r="F20" i="10" s="1"/>
  <c r="C79" i="11"/>
  <c r="E79" i="11" s="1"/>
  <c r="G79" i="14" s="1"/>
  <c r="E79" i="14"/>
  <c r="E75" i="14"/>
  <c r="C75" i="11"/>
  <c r="E75" i="11" s="1"/>
  <c r="C71" i="11"/>
  <c r="E71" i="11" s="1"/>
  <c r="G71" i="14" s="1"/>
  <c r="E71" i="14"/>
  <c r="E67" i="14"/>
  <c r="C67" i="11"/>
  <c r="E67" i="11" s="1"/>
  <c r="G67" i="14" s="1"/>
  <c r="E63" i="14"/>
  <c r="C63" i="11"/>
  <c r="E63" i="11" s="1"/>
  <c r="E59" i="14"/>
  <c r="C59" i="11"/>
  <c r="E59" i="11" s="1"/>
  <c r="G59" i="14" s="1"/>
  <c r="C55" i="11"/>
  <c r="E55" i="11" s="1"/>
  <c r="G55" i="14" s="1"/>
  <c r="E55" i="14"/>
  <c r="E51" i="14"/>
  <c r="C51" i="11"/>
  <c r="E51" i="11" s="1"/>
  <c r="E10" i="9"/>
  <c r="H10" i="15" s="1"/>
  <c r="E47" i="14"/>
  <c r="C47" i="11"/>
  <c r="E47" i="11" s="1"/>
  <c r="E43" i="14"/>
  <c r="C43" i="11"/>
  <c r="E43" i="11" s="1"/>
  <c r="G43" i="14" s="1"/>
  <c r="E39" i="14"/>
  <c r="C39" i="11"/>
  <c r="E39" i="11" s="1"/>
  <c r="E35" i="14"/>
  <c r="C35" i="11"/>
  <c r="E35" i="11" s="1"/>
  <c r="G35" i="14" s="1"/>
  <c r="E31" i="14"/>
  <c r="C31" i="11"/>
  <c r="E31" i="11" s="1"/>
  <c r="E27" i="14"/>
  <c r="C27" i="11"/>
  <c r="E27" i="11" s="1"/>
  <c r="G27" i="14" s="1"/>
  <c r="E23" i="14"/>
  <c r="C23" i="11"/>
  <c r="E23" i="11" s="1"/>
  <c r="G23" i="14" s="1"/>
  <c r="E19" i="14"/>
  <c r="C19" i="11"/>
  <c r="E19" i="11" s="1"/>
  <c r="G19" i="14" s="1"/>
  <c r="E44" i="14"/>
  <c r="C44" i="11"/>
  <c r="E44" i="11" s="1"/>
  <c r="G44" i="14" s="1"/>
  <c r="E78" i="14"/>
  <c r="C78" i="11"/>
  <c r="E78" i="11" s="1"/>
  <c r="G78" i="14" s="1"/>
  <c r="E34" i="14"/>
  <c r="C34" i="11"/>
  <c r="E34" i="11" s="1"/>
  <c r="E24" i="14"/>
  <c r="C24" i="11"/>
  <c r="E24" i="11" s="1"/>
  <c r="G24" i="14" s="1"/>
  <c r="E16" i="14"/>
  <c r="C16" i="11"/>
  <c r="E16" i="11" s="1"/>
  <c r="G16" i="14" s="1"/>
  <c r="E16" i="9"/>
  <c r="H16" i="15" s="1"/>
  <c r="E21" i="15"/>
  <c r="L42" i="13" l="1"/>
  <c r="F17" i="9"/>
  <c r="I17" i="15" s="1"/>
  <c r="L13" i="13"/>
  <c r="F56" i="10"/>
  <c r="H56" i="13" s="1"/>
  <c r="J13" i="13"/>
  <c r="J37" i="13"/>
  <c r="L37" i="13"/>
  <c r="I60" i="7"/>
  <c r="L60" i="13" s="1"/>
  <c r="J60" i="13"/>
  <c r="I36" i="7"/>
  <c r="L36" i="13" s="1"/>
  <c r="J36" i="13"/>
  <c r="G40" i="13"/>
  <c r="G18" i="14"/>
  <c r="F18" i="11"/>
  <c r="H18" i="14" s="1"/>
  <c r="G28" i="14"/>
  <c r="F28" i="11"/>
  <c r="H28" i="14" s="1"/>
  <c r="G45" i="14"/>
  <c r="F45" i="11"/>
  <c r="H45" i="14" s="1"/>
  <c r="G56" i="14"/>
  <c r="F56" i="11"/>
  <c r="H56" i="14" s="1"/>
  <c r="G60" i="14"/>
  <c r="F60" i="11"/>
  <c r="H60" i="14" s="1"/>
  <c r="G75" i="14"/>
  <c r="F75" i="11"/>
  <c r="H75" i="14" s="1"/>
  <c r="G22" i="14"/>
  <c r="F22" i="11"/>
  <c r="H22" i="14" s="1"/>
  <c r="G26" i="14"/>
  <c r="F26" i="11"/>
  <c r="H26" i="14" s="1"/>
  <c r="G31" i="14"/>
  <c r="F31" i="11"/>
  <c r="H31" i="14" s="1"/>
  <c r="G72" i="14"/>
  <c r="F72" i="11"/>
  <c r="H72" i="14" s="1"/>
  <c r="F7" i="8"/>
  <c r="G21" i="14"/>
  <c r="F21" i="11"/>
  <c r="H21" i="14" s="1"/>
  <c r="D17" i="9"/>
  <c r="G17" i="15" s="1"/>
  <c r="I11" i="8"/>
  <c r="L11" i="14" s="1"/>
  <c r="G39" i="14"/>
  <c r="F39" i="11"/>
  <c r="H39" i="14" s="1"/>
  <c r="G64" i="14"/>
  <c r="F64" i="11"/>
  <c r="H64" i="14" s="1"/>
  <c r="J11" i="14"/>
  <c r="G57" i="14"/>
  <c r="F57" i="11"/>
  <c r="H57" i="14" s="1"/>
  <c r="G76" i="14"/>
  <c r="F76" i="11"/>
  <c r="H76" i="14" s="1"/>
  <c r="G63" i="14"/>
  <c r="F63" i="11"/>
  <c r="H63" i="14" s="1"/>
  <c r="G61" i="14"/>
  <c r="F61" i="11"/>
  <c r="G58" i="14"/>
  <c r="H58" i="14"/>
  <c r="F13" i="6"/>
  <c r="G54" i="14"/>
  <c r="F54" i="11"/>
  <c r="H54" i="14" s="1"/>
  <c r="G48" i="14"/>
  <c r="F48" i="11"/>
  <c r="H48" i="14" s="1"/>
  <c r="G38" i="14"/>
  <c r="F38" i="11"/>
  <c r="H38" i="14" s="1"/>
  <c r="J6" i="5"/>
  <c r="D16" i="9"/>
  <c r="G16" i="15" s="1"/>
  <c r="I32" i="8"/>
  <c r="L32" i="14" s="1"/>
  <c r="J32" i="14"/>
  <c r="D16" i="15"/>
  <c r="D21" i="15" s="1"/>
  <c r="D21" i="6"/>
  <c r="G17" i="14"/>
  <c r="F17" i="11"/>
  <c r="F9" i="7"/>
  <c r="G16" i="13"/>
  <c r="F9" i="15"/>
  <c r="F13" i="15" s="1"/>
  <c r="G47" i="13"/>
  <c r="F12" i="13"/>
  <c r="F9" i="13" s="1"/>
  <c r="D7" i="13"/>
  <c r="G29" i="13"/>
  <c r="F29" i="10"/>
  <c r="H29" i="13" s="1"/>
  <c r="G45" i="13"/>
  <c r="F45" i="10"/>
  <c r="H45" i="13" s="1"/>
  <c r="G41" i="13"/>
  <c r="F41" i="10"/>
  <c r="H41" i="13" s="1"/>
  <c r="G30" i="13"/>
  <c r="F30" i="10"/>
  <c r="H30" i="13" s="1"/>
  <c r="G46" i="13"/>
  <c r="F46" i="10"/>
  <c r="H46" i="13" s="1"/>
  <c r="G60" i="13"/>
  <c r="F60" i="10"/>
  <c r="H60" i="13" s="1"/>
  <c r="G13" i="13"/>
  <c r="F13" i="10"/>
  <c r="H13" i="13" s="1"/>
  <c r="G26" i="13"/>
  <c r="F26" i="10"/>
  <c r="H26" i="13" s="1"/>
  <c r="G21" i="13"/>
  <c r="F21" i="10"/>
  <c r="H21" i="13" s="1"/>
  <c r="G37" i="13"/>
  <c r="F37" i="10"/>
  <c r="H37" i="13" s="1"/>
  <c r="G33" i="13"/>
  <c r="F33" i="10"/>
  <c r="H33" i="13" s="1"/>
  <c r="G22" i="13"/>
  <c r="F22" i="10"/>
  <c r="H22" i="13" s="1"/>
  <c r="G54" i="13"/>
  <c r="F54" i="10"/>
  <c r="H54" i="13" s="1"/>
  <c r="G78" i="13"/>
  <c r="F78" i="10"/>
  <c r="H78" i="13" s="1"/>
  <c r="G53" i="13"/>
  <c r="F53" i="10"/>
  <c r="H53" i="13" s="1"/>
  <c r="G44" i="13"/>
  <c r="F44" i="10"/>
  <c r="H44" i="13" s="1"/>
  <c r="G23" i="13"/>
  <c r="F23" i="10"/>
  <c r="H23" i="13" s="1"/>
  <c r="F7" i="4"/>
  <c r="D9" i="6"/>
  <c r="H7" i="4"/>
  <c r="I12" i="7"/>
  <c r="G9" i="7"/>
  <c r="D9" i="9" s="1"/>
  <c r="J12" i="13"/>
  <c r="J9" i="4"/>
  <c r="G47" i="14"/>
  <c r="F47" i="11"/>
  <c r="G34" i="14"/>
  <c r="F34" i="11"/>
  <c r="H34" i="14" s="1"/>
  <c r="G53" i="14"/>
  <c r="F53" i="11"/>
  <c r="G33" i="14"/>
  <c r="F33" i="11"/>
  <c r="H33" i="14" s="1"/>
  <c r="G36" i="13"/>
  <c r="H36" i="13"/>
  <c r="G42" i="13"/>
  <c r="H42" i="13"/>
  <c r="G55" i="13"/>
  <c r="H55" i="13"/>
  <c r="G14" i="13"/>
  <c r="H14" i="13"/>
  <c r="G12" i="13"/>
  <c r="H12" i="13"/>
  <c r="G43" i="13"/>
  <c r="H43" i="13"/>
  <c r="G39" i="13"/>
  <c r="H39" i="13"/>
  <c r="G35" i="13"/>
  <c r="H35" i="13"/>
  <c r="G65" i="14"/>
  <c r="F65" i="11"/>
  <c r="G32" i="14"/>
  <c r="F32" i="11"/>
  <c r="H32" i="14" s="1"/>
  <c r="G58" i="13"/>
  <c r="H58" i="13"/>
  <c r="G75" i="13"/>
  <c r="H75" i="13"/>
  <c r="G59" i="13"/>
  <c r="H59" i="13"/>
  <c r="G49" i="13"/>
  <c r="H49" i="13"/>
  <c r="G38" i="13"/>
  <c r="H38" i="13"/>
  <c r="G31" i="13"/>
  <c r="H31" i="13"/>
  <c r="G28" i="13"/>
  <c r="H28" i="13"/>
  <c r="G27" i="13"/>
  <c r="H27" i="13"/>
  <c r="G20" i="13"/>
  <c r="E22" i="6"/>
  <c r="G30" i="14"/>
  <c r="F30" i="11"/>
  <c r="G13" i="14"/>
  <c r="F13" i="11"/>
  <c r="E22" i="15"/>
  <c r="F15" i="15"/>
  <c r="F21" i="15" s="1"/>
  <c r="F21" i="6"/>
  <c r="D83" i="13"/>
  <c r="F92" i="4"/>
  <c r="G62" i="14"/>
  <c r="E19" i="12"/>
  <c r="K19" i="15" s="1"/>
  <c r="E16" i="12"/>
  <c r="K16" i="15" s="1"/>
  <c r="G52" i="14"/>
  <c r="E11" i="12"/>
  <c r="K11" i="15" s="1"/>
  <c r="G51" i="14"/>
  <c r="E10" i="12"/>
  <c r="K10" i="15" s="1"/>
  <c r="G41" i="14"/>
  <c r="E12" i="12"/>
  <c r="K12" i="15" s="1"/>
  <c r="C7" i="7"/>
  <c r="G11" i="14"/>
  <c r="E17" i="12"/>
  <c r="K17" i="15" s="1"/>
  <c r="G40" i="14"/>
  <c r="E20" i="12"/>
  <c r="K20" i="15" s="1"/>
  <c r="C7" i="13"/>
  <c r="E7" i="14"/>
  <c r="E6" i="14" s="1"/>
  <c r="C7" i="11"/>
  <c r="E15" i="9"/>
  <c r="E6" i="8"/>
  <c r="C10" i="10"/>
  <c r="E10" i="13"/>
  <c r="E9" i="13" s="1"/>
  <c r="E9" i="7"/>
  <c r="G15" i="14"/>
  <c r="E18" i="12"/>
  <c r="K18" i="15" s="1"/>
  <c r="J9" i="13" l="1"/>
  <c r="I9" i="7"/>
  <c r="F9" i="9"/>
  <c r="I9" i="15" s="1"/>
  <c r="I13" i="15" s="1"/>
  <c r="F22" i="6"/>
  <c r="H61" i="14"/>
  <c r="F12" i="12"/>
  <c r="L12" i="15" s="1"/>
  <c r="J7" i="4"/>
  <c r="F18" i="12"/>
  <c r="L18" i="15" s="1"/>
  <c r="H17" i="14"/>
  <c r="F22" i="15"/>
  <c r="L12" i="13"/>
  <c r="L9" i="13" s="1"/>
  <c r="D9" i="15"/>
  <c r="D13" i="15" s="1"/>
  <c r="D22" i="15" s="1"/>
  <c r="D13" i="6"/>
  <c r="D22" i="6" s="1"/>
  <c r="G9" i="15"/>
  <c r="G13" i="15" s="1"/>
  <c r="D13" i="9"/>
  <c r="F20" i="12"/>
  <c r="L20" i="15" s="1"/>
  <c r="H47" i="14"/>
  <c r="F11" i="12"/>
  <c r="L11" i="15" s="1"/>
  <c r="H53" i="14"/>
  <c r="F19" i="12"/>
  <c r="L19" i="15" s="1"/>
  <c r="H65" i="14"/>
  <c r="F7" i="14"/>
  <c r="F6" i="14" s="1"/>
  <c r="F7" i="13" s="1"/>
  <c r="F15" i="9"/>
  <c r="F6" i="8"/>
  <c r="F7" i="7" s="1"/>
  <c r="F83" i="7"/>
  <c r="D15" i="9"/>
  <c r="I7" i="8"/>
  <c r="J7" i="14"/>
  <c r="J6" i="14" s="1"/>
  <c r="G6" i="8"/>
  <c r="G7" i="7" s="1"/>
  <c r="H20" i="13"/>
  <c r="H30" i="14"/>
  <c r="F16" i="12"/>
  <c r="L16" i="15" s="1"/>
  <c r="H13" i="14"/>
  <c r="F17" i="12"/>
  <c r="D92" i="13"/>
  <c r="F94" i="4"/>
  <c r="D94" i="13" s="1"/>
  <c r="E9" i="9"/>
  <c r="E7" i="7"/>
  <c r="H15" i="15"/>
  <c r="H21" i="15" s="1"/>
  <c r="E21" i="9"/>
  <c r="E7" i="13"/>
  <c r="C6" i="11"/>
  <c r="E7" i="11"/>
  <c r="C9" i="10"/>
  <c r="E10" i="10"/>
  <c r="F10" i="10" s="1"/>
  <c r="H10" i="13" s="1"/>
  <c r="J7" i="13" l="1"/>
  <c r="H9" i="13"/>
  <c r="F9" i="10"/>
  <c r="F9" i="12" s="1"/>
  <c r="L9" i="15" s="1"/>
  <c r="L13" i="15" s="1"/>
  <c r="F13" i="9"/>
  <c r="F7" i="11"/>
  <c r="F6" i="11" s="1"/>
  <c r="F83" i="13"/>
  <c r="F92" i="7"/>
  <c r="F94" i="7" s="1"/>
  <c r="I6" i="8"/>
  <c r="I7" i="7" s="1"/>
  <c r="L7" i="14"/>
  <c r="L6" i="14" s="1"/>
  <c r="L7" i="13" s="1"/>
  <c r="I15" i="15"/>
  <c r="I21" i="15" s="1"/>
  <c r="I22" i="15" s="1"/>
  <c r="F21" i="9"/>
  <c r="G15" i="15"/>
  <c r="G21" i="15" s="1"/>
  <c r="G22" i="15" s="1"/>
  <c r="D21" i="9"/>
  <c r="D22" i="9" s="1"/>
  <c r="L17" i="15"/>
  <c r="C7" i="10"/>
  <c r="G7" i="14"/>
  <c r="G6" i="14" s="1"/>
  <c r="E15" i="12"/>
  <c r="E6" i="11"/>
  <c r="G10" i="13"/>
  <c r="G9" i="13" s="1"/>
  <c r="E9" i="10"/>
  <c r="H9" i="15"/>
  <c r="H13" i="15" s="1"/>
  <c r="H22" i="15" s="1"/>
  <c r="E13" i="9"/>
  <c r="E22" i="9" s="1"/>
  <c r="F13" i="12" l="1"/>
  <c r="F7" i="10"/>
  <c r="F22" i="9"/>
  <c r="F83" i="10"/>
  <c r="F92" i="10" s="1"/>
  <c r="H92" i="13" s="1"/>
  <c r="F15" i="12"/>
  <c r="L15" i="15" s="1"/>
  <c r="L21" i="15" s="1"/>
  <c r="L22" i="15" s="1"/>
  <c r="H7" i="14"/>
  <c r="H6" i="14" s="1"/>
  <c r="H7" i="13" s="1"/>
  <c r="F94" i="13"/>
  <c r="F92" i="13"/>
  <c r="E9" i="12"/>
  <c r="E7" i="10"/>
  <c r="K15" i="15"/>
  <c r="K21" i="15" s="1"/>
  <c r="E21" i="12"/>
  <c r="G7" i="13"/>
  <c r="H83" i="13" l="1"/>
  <c r="F94" i="10"/>
  <c r="H94" i="13" s="1"/>
  <c r="F21" i="12"/>
  <c r="F22" i="12" s="1"/>
  <c r="K9" i="15"/>
  <c r="K13" i="15" s="1"/>
  <c r="K22" i="15" s="1"/>
  <c r="E13" i="12"/>
  <c r="E22" i="12" s="1"/>
</calcChain>
</file>

<file path=xl/sharedStrings.xml><?xml version="1.0" encoding="utf-8"?>
<sst xmlns="http://schemas.openxmlformats.org/spreadsheetml/2006/main" count="1873" uniqueCount="455">
  <si>
    <t>Azienda</t>
  </si>
  <si>
    <t xml:space="preserve">AO Civico </t>
  </si>
  <si>
    <t>Note alla compilazione</t>
  </si>
  <si>
    <t>NB: le colonne in rosa si autoalimentano, non vanno compilate. Si precisa che per la corretta compilazione del file è necessario partire dal dettaglio per anno.</t>
  </si>
  <si>
    <t>Di seguito alcune indicazioni per la corretta interpretazione delle colonne presenti:</t>
  </si>
  <si>
    <r>
      <rPr>
        <b/>
        <sz val="10"/>
        <rFont val="Arial"/>
        <family val="2"/>
        <charset val="1"/>
      </rPr>
      <t>- Posti coperti al 31/12/2020 (Teste a tempo indeterminato):</t>
    </r>
    <r>
      <rPr>
        <sz val="10"/>
        <rFont val="Arial"/>
        <family val="2"/>
        <charset val="1"/>
      </rPr>
      <t xml:space="preserve"> inserire il personale a tempo indeterminato (per i policlinici includere anche il personale universitario) presente al 31 dicembre 2020 (escluso ultimo giorno)</t>
    </r>
  </si>
  <si>
    <r>
      <rPr>
        <b/>
        <sz val="10"/>
        <rFont val="Arial"/>
        <family val="2"/>
        <charset val="1"/>
      </rPr>
      <t>- Fabbisogno programmato (Teste da coprire):</t>
    </r>
    <r>
      <rPr>
        <sz val="10"/>
        <rFont val="Arial"/>
        <family val="2"/>
        <charset val="1"/>
      </rPr>
      <t xml:space="preserve"> per fabbisogno programmato si intende il differenziale tra il personale indeterminato presente in azienda e quello previsto nel Piano del Fabbisogno. Il Fabbisogno programmato include eventuali cessazioni nel corso dell'anno, eccedenze riassorbibili in azienda, personale necessario per l'attivazione di posti letto (previsti dalla programmazione ospedaliera D.A. 22/2019 + integrazione da D.A. 614/2020), stabilizzazioni di personale a tempo determinato, etc.</t>
    </r>
  </si>
  <si>
    <r>
      <rPr>
        <b/>
        <sz val="10"/>
        <rFont val="Arial"/>
        <family val="2"/>
        <charset val="1"/>
      </rPr>
      <t>- Piano del Fabbisogno (Teste):</t>
    </r>
    <r>
      <rPr>
        <sz val="10"/>
        <rFont val="Arial"/>
        <family val="2"/>
        <charset val="1"/>
      </rPr>
      <t xml:space="preserve"> personale totale per ciascun anno il cui costo deve essere coerente e sostenibile rispetto alla cornice finanziaria e al vincolo di bilancio. Il calcolo per l'anno 2020 è determinato dai posti coperti del 2019 più il fabbisogno programmato. Per gli anni successivi il Piano è determinato come somma delle teste determinate nel Piano dell'anno precedente più il fabbisogno programmato espresso.</t>
    </r>
  </si>
  <si>
    <r>
      <rPr>
        <b/>
        <sz val="10"/>
        <rFont val="Arial"/>
        <family val="2"/>
        <charset val="1"/>
      </rPr>
      <t>- Costo Personale Piano del Fabbisogno:</t>
    </r>
    <r>
      <rPr>
        <sz val="10"/>
        <rFont val="Arial"/>
        <family val="2"/>
        <charset val="1"/>
      </rPr>
      <t xml:space="preserve"> costo del personale totale per ciascun anno il cui ammontare deve essere coerente e sostenibile rispetto alla cornice finanziaria e al vincolo di bilancio. Per la valorizzazione del costo medio è consigliato rilevare il costo medio consuntivato per singolo profilo professionale come da Pilastro ex art. 79 al 31 dicembre 2019 includendo il ribaltamento dei fondi contrattuali maturati ancorché non liquidati.
Si precisa di compilare il prospetto di riconciliazione sottostante il "dettaglio disciplina di specializzazione" dei medici, che riguarda il totale personale.</t>
    </r>
  </si>
  <si>
    <r>
      <rPr>
        <b/>
        <sz val="10"/>
        <rFont val="Arial"/>
        <family val="2"/>
        <charset val="1"/>
      </rPr>
      <t>- Eccedenze residue:</t>
    </r>
    <r>
      <rPr>
        <sz val="10"/>
        <rFont val="Arial"/>
        <family val="2"/>
        <charset val="1"/>
      </rPr>
      <t xml:space="preserve"> personale non riassorbibile e non ricollocabile a livello aziendale da porre in disponibilità del SSR.</t>
    </r>
  </si>
  <si>
    <r>
      <rPr>
        <b/>
        <sz val="10"/>
        <rFont val="Arial"/>
        <family val="2"/>
        <charset val="1"/>
      </rPr>
      <t>- Posti vacanti</t>
    </r>
    <r>
      <rPr>
        <sz val="10"/>
        <rFont val="Arial"/>
        <family val="2"/>
        <charset val="1"/>
      </rPr>
      <t>: si intende vacante il posto che può essere coperto con assunzione a tempo indeterminato (assunzione, stabilizzazione, mobilità etc.) ovvero riassorbimento di esuberi. Nel caso in cui il "fabbisogno programmato" per profilo sia positivo (occorrono all'azienda più teste delle attuali in forza a tempo indeterminato) il valore del campo coincide con il valore espresso nel campo "fabbisogno programmato". Nel caso contrario (l'azienda ha delle eccedenze per il singolo profilo) il valore del campo deve essere posto pari a zero. La valorizzazione del campo per singolo profilo è utile al confronto tra fabbisogni programmati anno per anno. Ciò al fine di determinare l'ammontare, sia nei singoli fogli che nel foglio di sintesi, delle risorse per le quali è possibile ricorrere al reclutamento.</t>
    </r>
  </si>
  <si>
    <r>
      <rPr>
        <b/>
        <sz val="10"/>
        <rFont val="Arial"/>
        <family val="2"/>
        <charset val="1"/>
      </rPr>
      <t>- Posti vacanti disponibili da destinare ai processi di stabilizzazione</t>
    </r>
    <r>
      <rPr>
        <sz val="10"/>
        <rFont val="Arial"/>
        <family val="2"/>
        <charset val="1"/>
      </rPr>
      <t>: indicare il numero delle teste da stabilizzare per effetto di tutte le norme vigenti.</t>
    </r>
  </si>
  <si>
    <r>
      <rPr>
        <b/>
        <sz val="10"/>
        <rFont val="Arial"/>
        <family val="2"/>
        <charset val="1"/>
      </rPr>
      <t>- Posti vacanti disponibili da destinare all'accesso dall'esterno</t>
    </r>
    <r>
      <rPr>
        <sz val="10"/>
        <rFont val="Arial"/>
        <family val="2"/>
        <charset val="1"/>
      </rPr>
      <t>: indicare il numero delle teste da assumere tramite le relative procedure di assunzione (concorsi, mobilità, vincitore/idoneo graduatorie ancore valide )</t>
    </r>
  </si>
  <si>
    <r>
      <rPr>
        <b/>
        <sz val="10"/>
        <color rgb="FF000000"/>
        <rFont val="Arial"/>
        <family val="2"/>
        <charset val="1"/>
      </rPr>
      <t xml:space="preserve">Scheda riepilogo annuale: </t>
    </r>
    <r>
      <rPr>
        <sz val="10"/>
        <color rgb="FF000000"/>
        <rFont val="Arial"/>
        <family val="2"/>
        <charset val="1"/>
      </rPr>
      <t>In tale scheda viene riepilogato il Personale Dipendente per macroprofili riportando i dati relativi a "Posti Vacanti"", "Piano del Fabbisogno (Teste)" e "Costo piano del fabbisogno (€/mgl)" nell'anno di riferimento.</t>
    </r>
  </si>
  <si>
    <r>
      <rPr>
        <b/>
        <sz val="10"/>
        <color rgb="FF000000"/>
        <rFont val="Arial"/>
        <family val="2"/>
        <charset val="1"/>
      </rPr>
      <t xml:space="preserve">Scheda riepilogo triennio Personale Dipendente: </t>
    </r>
    <r>
      <rPr>
        <sz val="10"/>
        <color rgb="FF000000"/>
        <rFont val="Arial"/>
        <family val="2"/>
        <charset val="1"/>
      </rPr>
      <t>In tale scheda viene riepilogato il Personale Dipendente per macroprofili riportando i dati relativi a "Posti Vacanti" , "Piano del Fabbisogno (Teste)  e "Costo piano del fabbisogno (€/mgl)" nel triennio.</t>
    </r>
  </si>
  <si>
    <t>190201</t>
  </si>
  <si>
    <t>ASP Agrigento</t>
  </si>
  <si>
    <t>190202</t>
  </si>
  <si>
    <t>ASP Caltanissetta</t>
  </si>
  <si>
    <t>190203</t>
  </si>
  <si>
    <t>ASP Catania</t>
  </si>
  <si>
    <t>190204</t>
  </si>
  <si>
    <t>ASP Enna</t>
  </si>
  <si>
    <t>190205</t>
  </si>
  <si>
    <t>ASP Messina</t>
  </si>
  <si>
    <t>190206</t>
  </si>
  <si>
    <t>ASP Palermo</t>
  </si>
  <si>
    <t>190207</t>
  </si>
  <si>
    <t>ASP Ragusa</t>
  </si>
  <si>
    <t>190208</t>
  </si>
  <si>
    <t>ASP Siracusa</t>
  </si>
  <si>
    <t>190209</t>
  </si>
  <si>
    <t>ASP Trapani</t>
  </si>
  <si>
    <t>190921</t>
  </si>
  <si>
    <t>AO Cannizzaro</t>
  </si>
  <si>
    <t>190922</t>
  </si>
  <si>
    <t>AO Garibaldi</t>
  </si>
  <si>
    <t>190923</t>
  </si>
  <si>
    <t>AOUP Catania</t>
  </si>
  <si>
    <t>190924</t>
  </si>
  <si>
    <t>AO Papardo</t>
  </si>
  <si>
    <t>190925</t>
  </si>
  <si>
    <t>AOUP Messina</t>
  </si>
  <si>
    <t>190926</t>
  </si>
  <si>
    <t>AO Villa Sofia - Cervello</t>
  </si>
  <si>
    <t>190927</t>
  </si>
  <si>
    <t>190928</t>
  </si>
  <si>
    <t>AOUP Palermo</t>
  </si>
  <si>
    <t>190960</t>
  </si>
  <si>
    <t>Centro Neurolesi - Piemonte</t>
  </si>
  <si>
    <t>Azienda:</t>
  </si>
  <si>
    <t>Profilo Gestionale - SDDAMM01 Medico</t>
  </si>
  <si>
    <t>Disciplina di inquadramento</t>
  </si>
  <si>
    <t>Costo Personale Piano del Fabbisogno
€/mgl</t>
  </si>
  <si>
    <r>
      <rPr>
        <b/>
        <sz val="8"/>
        <rFont val="Arial"/>
        <family val="2"/>
        <charset val="1"/>
      </rPr>
      <t xml:space="preserve">Eccedenze residue
</t>
    </r>
    <r>
      <rPr>
        <sz val="8"/>
        <rFont val="Arial"/>
        <family val="2"/>
        <charset val="1"/>
      </rPr>
      <t>(personale non riassorbibile e non ricollocabile a livello aziendale da porre in disponibilità)</t>
    </r>
  </si>
  <si>
    <t>Posti Vacanti</t>
  </si>
  <si>
    <r>
      <rPr>
        <i/>
        <sz val="8"/>
        <color rgb="FF000000"/>
        <rFont val="Arial"/>
        <family val="2"/>
        <charset val="1"/>
      </rPr>
      <t xml:space="preserve">Posti vacanti disponibili </t>
    </r>
    <r>
      <rPr>
        <b/>
        <i/>
        <sz val="8"/>
        <color rgb="FF000000"/>
        <rFont val="Arial"/>
        <family val="2"/>
        <charset val="1"/>
      </rPr>
      <t>da destinare ai processi di stabilizzazione</t>
    </r>
  </si>
  <si>
    <r>
      <rPr>
        <i/>
        <sz val="8"/>
        <color rgb="FF000000"/>
        <rFont val="Arial"/>
        <family val="2"/>
        <charset val="1"/>
      </rPr>
      <t xml:space="preserve">Posti vacanti disponibili </t>
    </r>
    <r>
      <rPr>
        <b/>
        <i/>
        <sz val="8"/>
        <color rgb="FF000000"/>
        <rFont val="Arial"/>
        <family val="2"/>
        <charset val="1"/>
      </rPr>
      <t>da destinare all'accesso dall'esterno</t>
    </r>
  </si>
  <si>
    <t>di cui Personale per posti letto di Terapia Intensiva "aggiuntivi" da ex D.L. 34/2020 convertito con Legge 77/2020</t>
  </si>
  <si>
    <t>di cui Personale ADI "aggiuntivo" da ex D.L. 34/2020 convertito con Legge 77/2020</t>
  </si>
  <si>
    <t>di cui infermiere di Famiglia o di Comunità da ex D.L. 34/2020 convertito con Legge 77/2020</t>
  </si>
  <si>
    <t>Note</t>
  </si>
  <si>
    <t>A</t>
  </si>
  <si>
    <t>a1</t>
  </si>
  <si>
    <t>B=A+a1</t>
  </si>
  <si>
    <t>B1=B*costo medio</t>
  </si>
  <si>
    <t>X</t>
  </si>
  <si>
    <t>C≈a1</t>
  </si>
  <si>
    <t>D</t>
  </si>
  <si>
    <t>E=C-D</t>
  </si>
  <si>
    <t>F</t>
  </si>
  <si>
    <t>G</t>
  </si>
  <si>
    <t>H</t>
  </si>
  <si>
    <t>Totale personale</t>
  </si>
  <si>
    <t>Totale personale - Medico</t>
  </si>
  <si>
    <t>I001</t>
  </si>
  <si>
    <t>Allergologia ed immunologia clinica</t>
  </si>
  <si>
    <t>I002</t>
  </si>
  <si>
    <t>Angiologia</t>
  </si>
  <si>
    <t>I003</t>
  </si>
  <si>
    <t>Cardiologia</t>
  </si>
  <si>
    <t>I004</t>
  </si>
  <si>
    <t>Dermatologia e venereologia</t>
  </si>
  <si>
    <t>I005</t>
  </si>
  <si>
    <t>Ematologia</t>
  </si>
  <si>
    <t>I006</t>
  </si>
  <si>
    <t>Endocrinologia</t>
  </si>
  <si>
    <t>I007</t>
  </si>
  <si>
    <t>Gastroenterologia</t>
  </si>
  <si>
    <t>I008</t>
  </si>
  <si>
    <t>Genetica medica</t>
  </si>
  <si>
    <t>I009</t>
  </si>
  <si>
    <t>Geriatria</t>
  </si>
  <si>
    <t>I010</t>
  </si>
  <si>
    <t>Malattie metaboliche e diabetologia</t>
  </si>
  <si>
    <t>I011</t>
  </si>
  <si>
    <t>Malattie dell'apparato respiratorio</t>
  </si>
  <si>
    <t>I012</t>
  </si>
  <si>
    <t>Malattie infettive</t>
  </si>
  <si>
    <t>I013</t>
  </si>
  <si>
    <t>Medicina e Chirurgia di accettazione e di urgenza</t>
  </si>
  <si>
    <t>I014</t>
  </si>
  <si>
    <t>Medicina fisica e riabilitazione</t>
  </si>
  <si>
    <t>I015</t>
  </si>
  <si>
    <t>Medicina interna</t>
  </si>
  <si>
    <t>I018</t>
  </si>
  <si>
    <t>Medicina dello sport</t>
  </si>
  <si>
    <t>I019</t>
  </si>
  <si>
    <t>Nefrologia</t>
  </si>
  <si>
    <t>I020</t>
  </si>
  <si>
    <t>Neonatologia</t>
  </si>
  <si>
    <t>I021</t>
  </si>
  <si>
    <t>Neurologia</t>
  </si>
  <si>
    <t>I022</t>
  </si>
  <si>
    <t>Neuropsichiatria infantile</t>
  </si>
  <si>
    <t>I023</t>
  </si>
  <si>
    <t>Oncologia</t>
  </si>
  <si>
    <t>I024</t>
  </si>
  <si>
    <t>Pediatria</t>
  </si>
  <si>
    <t>I025</t>
  </si>
  <si>
    <t>Psichiatria</t>
  </si>
  <si>
    <t>I026</t>
  </si>
  <si>
    <t>Radioterapia</t>
  </si>
  <si>
    <t>I027</t>
  </si>
  <si>
    <t>Reumatologia</t>
  </si>
  <si>
    <t>I029</t>
  </si>
  <si>
    <t>Cardiochirurgia</t>
  </si>
  <si>
    <t>I030</t>
  </si>
  <si>
    <t>Chirurgia generale</t>
  </si>
  <si>
    <t>I031</t>
  </si>
  <si>
    <t>Chirurgia maxillo-facciale</t>
  </si>
  <si>
    <t>I032</t>
  </si>
  <si>
    <t>Chirurgia pediatrica</t>
  </si>
  <si>
    <t>I033</t>
  </si>
  <si>
    <t>Chirurgia plastica e ricostruttiva</t>
  </si>
  <si>
    <t>I034</t>
  </si>
  <si>
    <t>Chirurgia toracica</t>
  </si>
  <si>
    <t>I035</t>
  </si>
  <si>
    <t>Chirurgia vascolare</t>
  </si>
  <si>
    <t>I036</t>
  </si>
  <si>
    <t>Ginecologia e ostetricia</t>
  </si>
  <si>
    <t>I037</t>
  </si>
  <si>
    <t>Neurochirurgia</t>
  </si>
  <si>
    <t>I038</t>
  </si>
  <si>
    <t>Oftalmologia</t>
  </si>
  <si>
    <t>I039</t>
  </si>
  <si>
    <t>Ortopedia e traumatologia</t>
  </si>
  <si>
    <t>I040</t>
  </si>
  <si>
    <t>Otorinolaringoiatria</t>
  </si>
  <si>
    <t>I041</t>
  </si>
  <si>
    <t>Urologia</t>
  </si>
  <si>
    <t>I042</t>
  </si>
  <si>
    <t>Anatomia patologica</t>
  </si>
  <si>
    <t>I043</t>
  </si>
  <si>
    <t>Anestesia e rianimazione</t>
  </si>
  <si>
    <t>I044</t>
  </si>
  <si>
    <t>Biochimica clinica</t>
  </si>
  <si>
    <t>I045</t>
  </si>
  <si>
    <t>Farmacologia e Tossicologia clinica</t>
  </si>
  <si>
    <t>I046</t>
  </si>
  <si>
    <t>Laboratorio di genetica medica</t>
  </si>
  <si>
    <t>I047</t>
  </si>
  <si>
    <t>Medicina Trasfusionale</t>
  </si>
  <si>
    <t>I048</t>
  </si>
  <si>
    <t>Medicina legale</t>
  </si>
  <si>
    <t>I049</t>
  </si>
  <si>
    <t>Medicina nucleare</t>
  </si>
  <si>
    <t>I050</t>
  </si>
  <si>
    <t>Microbiologia e virologia</t>
  </si>
  <si>
    <t>I051</t>
  </si>
  <si>
    <t>Neurofisiopatologia</t>
  </si>
  <si>
    <t>I052</t>
  </si>
  <si>
    <t>Neuroradiologia</t>
  </si>
  <si>
    <t>I053</t>
  </si>
  <si>
    <t>Patologia clinica</t>
  </si>
  <si>
    <t>I054</t>
  </si>
  <si>
    <t>Radiodiagnostica</t>
  </si>
  <si>
    <t>I055</t>
  </si>
  <si>
    <t>Igiene, epidemiologia e sanità pubblica</t>
  </si>
  <si>
    <t>I056</t>
  </si>
  <si>
    <t>Igiene degli alimenti e della nutrizione</t>
  </si>
  <si>
    <t>I057</t>
  </si>
  <si>
    <t>Medicina del lavoro e sicurezza degli ambienti di lavoro</t>
  </si>
  <si>
    <t>I061</t>
  </si>
  <si>
    <t>Igiene degli allevamenti e delle produzioni zootecniche</t>
  </si>
  <si>
    <t>I062</t>
  </si>
  <si>
    <t>Igiene della produzione, trasformazione, commercializzazione, conservazione e trasporto degli alimenti di origine aninale e loro derivati</t>
  </si>
  <si>
    <t>I063</t>
  </si>
  <si>
    <t>Sanità animale</t>
  </si>
  <si>
    <t>I064</t>
  </si>
  <si>
    <t>Odontoiatria</t>
  </si>
  <si>
    <t>I066</t>
  </si>
  <si>
    <t>Farmacia Ospedaliera</t>
  </si>
  <si>
    <t>I067</t>
  </si>
  <si>
    <t>Farmacia territoriale</t>
  </si>
  <si>
    <t>I076</t>
  </si>
  <si>
    <t>Chimica analitica</t>
  </si>
  <si>
    <t>I077</t>
  </si>
  <si>
    <t>Psicoterapia</t>
  </si>
  <si>
    <t>I078</t>
  </si>
  <si>
    <t>Psicologia clinica</t>
  </si>
  <si>
    <t>I079</t>
  </si>
  <si>
    <t>Fisica Sanitaria</t>
  </si>
  <si>
    <t>I106</t>
  </si>
  <si>
    <t>Scienza dell'alimentazione e dietetica</t>
  </si>
  <si>
    <t>I107</t>
  </si>
  <si>
    <t>Direzione medica di presidio ospedaliero</t>
  </si>
  <si>
    <t>I108</t>
  </si>
  <si>
    <t>Organizzazione dei servizi sanitari di base</t>
  </si>
  <si>
    <t>I111</t>
  </si>
  <si>
    <t>Audiologia e foniatria</t>
  </si>
  <si>
    <t>I114</t>
  </si>
  <si>
    <t>Cure Palliative</t>
  </si>
  <si>
    <t>I115</t>
  </si>
  <si>
    <t>Epidemiologia</t>
  </si>
  <si>
    <t>TOTALE COSTO DEL PERSONALE</t>
  </si>
  <si>
    <t>Costo Personale (€/mgl)</t>
  </si>
  <si>
    <t>( + ) IRAP</t>
  </si>
  <si>
    <t>( + )</t>
  </si>
  <si>
    <t xml:space="preserve">Nuovo Tetto di spesa comprensivo degli incrementi indicati nell'appendice delle Linee Guida 2021 (€/mgl)
(B) </t>
  </si>
  <si>
    <t>( + ) Assegni per il nucleo familiare, buoni pasto e spese per equo indennizzo</t>
  </si>
  <si>
    <t>( - ) Spese per il personale appartenente alle categorie protette</t>
  </si>
  <si>
    <t>( - )</t>
  </si>
  <si>
    <t>( - ) spese sostenute dall'Azienda per il proprio personale comandato presso altre Amministrazioni e per le quali è previsto il rimborso da parte delle Amministrazioni utilizzatrici</t>
  </si>
  <si>
    <t>( - ) Somme maturate per competenza verso l'Ass.to Reg.le al Lavoro per il rimborso L.S.U. contrattualizzati.</t>
  </si>
  <si>
    <t>( - ) oneri per i rinnovi contrattuali succedutisi a decorrere dal 2004, calcolati secondo il principio della competenza</t>
  </si>
  <si>
    <r>
      <rPr>
        <b/>
        <sz val="8"/>
        <color rgb="FF000000"/>
        <rFont val="Arial"/>
        <family val="2"/>
        <charset val="1"/>
      </rPr>
      <t xml:space="preserve">Totale Spesa Netta </t>
    </r>
    <r>
      <rPr>
        <b/>
        <i/>
        <sz val="8"/>
        <color rgb="FF000000"/>
        <rFont val="Arial"/>
        <family val="2"/>
        <charset val="1"/>
      </rPr>
      <t>(Medici + altri profili)</t>
    </r>
    <r>
      <rPr>
        <b/>
        <sz val="8"/>
        <color rgb="FF000000"/>
        <rFont val="Arial"/>
        <family val="2"/>
        <charset val="1"/>
      </rPr>
      <t xml:space="preserve"> - (A)</t>
    </r>
  </si>
  <si>
    <t>Compreso personale "aggiuntivo"</t>
  </si>
  <si>
    <t>Delta Tetto di spesa assegnato vs Spesa Netta Personale nuova dotazione organica C=(B-A)</t>
  </si>
  <si>
    <t>DI CUI COSTO PERSONALE "AGGIUNTIVO" (ex D.L. 34/2020 convertito con Legge 77/2020 + D.A. 614/2020)</t>
  </si>
  <si>
    <t>Costo del Personale per posti letto di Terapia Intensiva "aggiuntivi" da ex D.L. 34/2020 convertito con Legge 77/2020</t>
  </si>
  <si>
    <t>Esclusivamente del Personale "aggiuntivo" (teste per la copertura dei posti letto di Terapia Intensiva come da D.A. 614/2020, teste relative agli infermieri di Famiglia o di Comunità e teste personale ADI)</t>
  </si>
  <si>
    <t>Costo infermiere di Famiglia o di Comunità da ex D.L. 34/2020 convertito con Legge 77/2020</t>
  </si>
  <si>
    <t>Costo Personale ADI "aggiuntivo" da ex D.L. 34/2020 convertito con Legge 77/2020</t>
  </si>
  <si>
    <t>Altri profili</t>
  </si>
  <si>
    <t>Profilo Gestionale</t>
  </si>
  <si>
    <t>I</t>
  </si>
  <si>
    <t>L=H-I</t>
  </si>
  <si>
    <t>M</t>
  </si>
  <si>
    <t>N</t>
  </si>
  <si>
    <t>O</t>
  </si>
  <si>
    <t>Totale personale - Altri profili</t>
  </si>
  <si>
    <t>SCCCII01</t>
  </si>
  <si>
    <t>Infermiere</t>
  </si>
  <si>
    <t>SCCCII02</t>
  </si>
  <si>
    <t>Infermiere psichiatrico</t>
  </si>
  <si>
    <t>SCCCII03</t>
  </si>
  <si>
    <t>Infermiere generico</t>
  </si>
  <si>
    <t>SCCCII04</t>
  </si>
  <si>
    <t>Infermiere pediatrico</t>
  </si>
  <si>
    <t>TCCMTT01</t>
  </si>
  <si>
    <t xml:space="preserve">Operatore socio sanitario </t>
  </si>
  <si>
    <t>OSS-OTA-ASA</t>
  </si>
  <si>
    <t>TCCMTT02</t>
  </si>
  <si>
    <t>Operatore tecnico addetto all'assistenza</t>
  </si>
  <si>
    <t>TCCMTA03</t>
  </si>
  <si>
    <t>Ausiliario specializzato</t>
  </si>
  <si>
    <t>SCCFTP01</t>
  </si>
  <si>
    <t>Tecnico della prevenzione nell'ambiente e nei luoghi di lavoro</t>
  </si>
  <si>
    <t>Altro Comparto Sanitario</t>
  </si>
  <si>
    <t>SCCDRR01</t>
  </si>
  <si>
    <t>Educatore professionale</t>
  </si>
  <si>
    <t>Personale della riabilitazione e Fisioterapisti</t>
  </si>
  <si>
    <t>SCCDRR02</t>
  </si>
  <si>
    <t>Terapista occupazionale</t>
  </si>
  <si>
    <t>SCCDRR03</t>
  </si>
  <si>
    <t>Fisioterapista</t>
  </si>
  <si>
    <t>SCCDRR04</t>
  </si>
  <si>
    <t>Logopedista</t>
  </si>
  <si>
    <t>SCCDRR05</t>
  </si>
  <si>
    <t>Massaggiatore</t>
  </si>
  <si>
    <t>SCCDRR06</t>
  </si>
  <si>
    <t>Massofisioterapista</t>
  </si>
  <si>
    <t>SCCDRR07</t>
  </si>
  <si>
    <t>Ortottista – assistente di oftalmologia</t>
  </si>
  <si>
    <t>SCCDRR08</t>
  </si>
  <si>
    <t>Tecnico audiometrista</t>
  </si>
  <si>
    <t>SCCDRR09</t>
  </si>
  <si>
    <t>Tecnico audioprotesista</t>
  </si>
  <si>
    <t>SCCDRR10</t>
  </si>
  <si>
    <t>Tecnico dell’educazione e riabilitazione psichiatrica e psicosociale</t>
  </si>
  <si>
    <t>SCCDRR11</t>
  </si>
  <si>
    <t>Terapista della neuro epsicomotricista dell’età evolutiva</t>
  </si>
  <si>
    <t>SCCCIA01</t>
  </si>
  <si>
    <t>Assistente sanitario</t>
  </si>
  <si>
    <t>SCCCIA02</t>
  </si>
  <si>
    <t>Podologo</t>
  </si>
  <si>
    <t>SCCCIA03</t>
  </si>
  <si>
    <t>Dietista</t>
  </si>
  <si>
    <t>SCCCIA04</t>
  </si>
  <si>
    <t>Igienista dentale</t>
  </si>
  <si>
    <t>SCCCIA05</t>
  </si>
  <si>
    <t>Ostetrica</t>
  </si>
  <si>
    <t>SCCEAT06</t>
  </si>
  <si>
    <t>Tecnico di neurofisiopatologia</t>
  </si>
  <si>
    <t>SCCETD01</t>
  </si>
  <si>
    <t>Tecnico sanitario di laboratorio biomedico</t>
  </si>
  <si>
    <t>SCCETD02</t>
  </si>
  <si>
    <t>Tecnico sanitario di radiologia medica</t>
  </si>
  <si>
    <t>SCCGAS01</t>
  </si>
  <si>
    <t>Profilo Atipico Sanitario</t>
  </si>
  <si>
    <t>SCCEAT01</t>
  </si>
  <si>
    <t>Odontotecnico</t>
  </si>
  <si>
    <t>SCCEAT02</t>
  </si>
  <si>
    <t>Tecnico ortopedico</t>
  </si>
  <si>
    <t>SCCEAT03</t>
  </si>
  <si>
    <t>Ottico</t>
  </si>
  <si>
    <t>SCCEAT04</t>
  </si>
  <si>
    <t>Puericultrice</t>
  </si>
  <si>
    <t>SCCEAT05</t>
  </si>
  <si>
    <t>Tecnico della fisiopatologia cardiocircolatoria e perfusione cardiovascolare</t>
  </si>
  <si>
    <t>TCCMTS01</t>
  </si>
  <si>
    <t>Assistente sociale</t>
  </si>
  <si>
    <t>Altro Comparto Tecnico</t>
  </si>
  <si>
    <t>TDDLDT01</t>
  </si>
  <si>
    <t>Analista</t>
  </si>
  <si>
    <t>Dirigenti PTA</t>
  </si>
  <si>
    <t>TDDLDT02</t>
  </si>
  <si>
    <t>Statistico</t>
  </si>
  <si>
    <t>TDDLDT03</t>
  </si>
  <si>
    <t>Sociologo</t>
  </si>
  <si>
    <t>TDDLDT04</t>
  </si>
  <si>
    <t>Altro dirigente tecnico</t>
  </si>
  <si>
    <t>TCCMTA01</t>
  </si>
  <si>
    <t>Assistente tecnico</t>
  </si>
  <si>
    <t>TCCMTA02</t>
  </si>
  <si>
    <t>Programmatore</t>
  </si>
  <si>
    <t>TCCMTA04</t>
  </si>
  <si>
    <t>Collaboratore tecnico</t>
  </si>
  <si>
    <t>TCCMTA05</t>
  </si>
  <si>
    <t>Operatore tecnico</t>
  </si>
  <si>
    <t>TCCMTA06</t>
  </si>
  <si>
    <t>Profilo Atipico - Tecnico</t>
  </si>
  <si>
    <t>TCCMTA09</t>
  </si>
  <si>
    <t>Profilo generico</t>
  </si>
  <si>
    <t>SDDAMA02</t>
  </si>
  <si>
    <t>Veterinario</t>
  </si>
  <si>
    <t>Medici</t>
  </si>
  <si>
    <t>SDDAMA01</t>
  </si>
  <si>
    <t>Odontoiatra</t>
  </si>
  <si>
    <t>Altri Dirigenti Sanitari</t>
  </si>
  <si>
    <t>SDDBAA01</t>
  </si>
  <si>
    <t>Psicologo</t>
  </si>
  <si>
    <t>SDDBAA02</t>
  </si>
  <si>
    <t>Biologo</t>
  </si>
  <si>
    <t>SDDBAA03</t>
  </si>
  <si>
    <t>Chimico</t>
  </si>
  <si>
    <t>SDDBAA04</t>
  </si>
  <si>
    <t>Fisico</t>
  </si>
  <si>
    <t>SDDBAA05</t>
  </si>
  <si>
    <t>Pedagogista</t>
  </si>
  <si>
    <t>SDDBAA06</t>
  </si>
  <si>
    <t>Dirigente delle professioni sanitarie</t>
  </si>
  <si>
    <t>SDDBAA07</t>
  </si>
  <si>
    <t>Altro D. Sanitario</t>
  </si>
  <si>
    <t>SDDBAF01</t>
  </si>
  <si>
    <t>Farmacista</t>
  </si>
  <si>
    <t>ADDNAD01</t>
  </si>
  <si>
    <t>Dirigenti amministrativi</t>
  </si>
  <si>
    <t>ACCOAC01</t>
  </si>
  <si>
    <t>Assistente amministrativo</t>
  </si>
  <si>
    <t>Comparto Amministrativo e Professionale</t>
  </si>
  <si>
    <t>ACCOAC02</t>
  </si>
  <si>
    <t>Commesso</t>
  </si>
  <si>
    <t>ACCOAC03</t>
  </si>
  <si>
    <t>Coadiutore amministrativo</t>
  </si>
  <si>
    <t>ACCOAC04</t>
  </si>
  <si>
    <t>Collaboratore amministrativo</t>
  </si>
  <si>
    <t>ACCOAC05</t>
  </si>
  <si>
    <t>Profilo Atipico - Ammistrativo</t>
  </si>
  <si>
    <t>ACCOAC09</t>
  </si>
  <si>
    <t>PCCIPC01</t>
  </si>
  <si>
    <t>Assistente religioso</t>
  </si>
  <si>
    <t>PCCIPC02</t>
  </si>
  <si>
    <t>Profilo Atipico - Ruolo Professionale</t>
  </si>
  <si>
    <t>PCCIPC03</t>
  </si>
  <si>
    <t>Specialista della comunicazione istituzionale</t>
  </si>
  <si>
    <t>PCCIPC04</t>
  </si>
  <si>
    <t>Specialista nei rapporti con i media, giornalista pubblico</t>
  </si>
  <si>
    <t>PCORRR01</t>
  </si>
  <si>
    <t>Personale religioso in convenzione</t>
  </si>
  <si>
    <t>PCCIPC08</t>
  </si>
  <si>
    <t>PCCIPC09</t>
  </si>
  <si>
    <t>PDDHPD01</t>
  </si>
  <si>
    <t>Avvocato</t>
  </si>
  <si>
    <t>PDDHPD02</t>
  </si>
  <si>
    <t>Ingegnere</t>
  </si>
  <si>
    <t>PDDHPD03</t>
  </si>
  <si>
    <t>Architetto</t>
  </si>
  <si>
    <t>PDDHPD04</t>
  </si>
  <si>
    <t>Geologo</t>
  </si>
  <si>
    <t>PDDHPD05</t>
  </si>
  <si>
    <t>Altro dirigente professionale</t>
  </si>
  <si>
    <t>DIPENDENTE</t>
  </si>
  <si>
    <t>MACROPROFILI</t>
  </si>
  <si>
    <t>Personale dipendente</t>
  </si>
  <si>
    <t>Costo piano del fabbisogno
 (€/mgl)</t>
  </si>
  <si>
    <t>PERSONALE DIRIGENTE</t>
  </si>
  <si>
    <t>di cui Medici</t>
  </si>
  <si>
    <t>di cui Veterinari</t>
  </si>
  <si>
    <t>di cui Altri Dirigenti Sanitari</t>
  </si>
  <si>
    <t>di cui Dirigenti PTA</t>
  </si>
  <si>
    <t>TOTALE DIRIGENTE</t>
  </si>
  <si>
    <t>PERSONALE COMPARTO</t>
  </si>
  <si>
    <t>di cui Infermiere</t>
  </si>
  <si>
    <t>di cui Altro Comparto Sanitario</t>
  </si>
  <si>
    <t>di cui OSS-OTA-ASA</t>
  </si>
  <si>
    <t>di cui Personale della riabilitazione e Fisioterapisti</t>
  </si>
  <si>
    <t>di cui Comparto Amministrativo e Professionale</t>
  </si>
  <si>
    <t>di cui Altro Comparto Tecnico</t>
  </si>
  <si>
    <t>TOTALE COMPARTO</t>
  </si>
  <si>
    <t>TOTALE FABBISOGNO PERSONALE 2021</t>
  </si>
  <si>
    <t>Piano del Fabbisogno (Teste) 
2022</t>
  </si>
  <si>
    <t>TOTALE FABBISOGNO PERSONALE 2022</t>
  </si>
  <si>
    <t>Fabbisogno programmato (Teste da coprire) 
2023</t>
  </si>
  <si>
    <t>Piano del Fabbisogno (Teste) 
2023</t>
  </si>
  <si>
    <t>TOTALE FABBISOGNO PERSONALE 2023</t>
  </si>
  <si>
    <r>
      <rPr>
        <b/>
        <sz val="8"/>
        <color rgb="FF000000"/>
        <rFont val="Arial"/>
        <family val="2"/>
        <charset val="1"/>
      </rPr>
      <t xml:space="preserve">Eccedenze residue
</t>
    </r>
    <r>
      <rPr>
        <sz val="8"/>
        <color rgb="FF000000"/>
        <rFont val="Arial"/>
        <family val="2"/>
        <charset val="1"/>
      </rPr>
      <t>(personale non riassorbibile e non ricollocabile a livello aziendale da porre in disponibilità)</t>
    </r>
  </si>
  <si>
    <t>Posti Vacanti
nel triennio</t>
  </si>
  <si>
    <t>A1</t>
  </si>
  <si>
    <t>B</t>
  </si>
  <si>
    <t>B1</t>
  </si>
  <si>
    <t>C</t>
  </si>
  <si>
    <t>C1</t>
  </si>
  <si>
    <t>E</t>
  </si>
  <si>
    <t>G=E-F</t>
  </si>
  <si>
    <t xml:space="preserve">Nuovo Tetto di spesa comprensivo degli incrementi indicati nell'appendice delle Linee Guida 2021 (€/mgl)
(C) </t>
  </si>
  <si>
    <t>Delta Tetto di spesa assegnato vs Spesa Netta Personale nuova dotazione organica D=(C-A)</t>
  </si>
  <si>
    <t>Totale Spesa Netta Personale nuova dotazione organica del Personale aggiuntivo (B)</t>
  </si>
  <si>
    <t>Piano del Fabbisogno (Teste)</t>
  </si>
  <si>
    <t>TOTALE FABBISOGNO PERSONALE</t>
  </si>
  <si>
    <t>Territorio</t>
  </si>
  <si>
    <t>Piano del Fabbisogno (Teste) 
2024</t>
  </si>
  <si>
    <t>Costo Personale Piano del Fabbisogno 2024
€/mgl</t>
  </si>
  <si>
    <t>Fabbisogno programmato (Teste da coprire) 
2024</t>
  </si>
  <si>
    <t>Fabbisogno programmato (Teste da coprire) 
2025</t>
  </si>
  <si>
    <t>Piano del Fabbisogno (Teste) 
2025</t>
  </si>
  <si>
    <t>Costo Personale Piano del Fabbisogno 2025
€/mgl</t>
  </si>
  <si>
    <t>Posti Vacanti
2024</t>
  </si>
  <si>
    <t>Piano del Fabbisogno (Teste)
2024</t>
  </si>
  <si>
    <t>Posti Vacanti
2025</t>
  </si>
  <si>
    <t>Piano del Fabbisogno (Teste)
2025</t>
  </si>
  <si>
    <t xml:space="preserve">comprende staff </t>
  </si>
  <si>
    <t xml:space="preserve">Piano triennale del Fabbisogno 2024-2026
</t>
  </si>
  <si>
    <t>Piano del Fabbisogno (Teste) 
2026</t>
  </si>
  <si>
    <t>Costo Personale Piano del Fabbisogno 2026
€/mgl</t>
  </si>
  <si>
    <t>Posti Vacanti
2026</t>
  </si>
  <si>
    <t>Piano del Fabbisogno (Teste)
2026</t>
  </si>
  <si>
    <t>Fabbisogno programmato (Teste da coprire) 
2026</t>
  </si>
  <si>
    <t>Tabella riepilogo anno 2026 - Piano dei Fabbisogni del Personale</t>
  </si>
  <si>
    <t>Tabella riepilogo 2024-2026 - Piano dei Fabbisogni del Personale Dipendente</t>
  </si>
  <si>
    <t>Tabella riepilogo anno 2025 - Piano dei Fabbisogni del Personale</t>
  </si>
  <si>
    <t>Tabella riepilogo anno 2024 - Piano dei Fabbisogni del Personale</t>
  </si>
  <si>
    <t>Posti coperti al 31/12/2023(Teste a tempo indeterminato)</t>
  </si>
  <si>
    <t>Posti coperti al 31/12/2023 (Teste a tempo indeterminato)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</si>
</sst>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_-;_-@_-"/>
    <numFmt numFmtId="165" formatCode="#,##0_ ;\-#,##0\ "/>
    <numFmt numFmtId="166" formatCode="_-* #,##0_-;\-* #,##0_-;_-* \-??_-;_-@_-"/>
    <numFmt numFmtId="167" formatCode="#,##0.00_ ;\-#,##0.00\ "/>
  </numFmts>
  <fonts count="32">
    <font>
      <sz val="11"/>
      <color rgb="FF000000"/>
      <name val="Calibri"/>
      <family val="2"/>
      <charset val="1"/>
    </font>
    <font>
      <sz val="10"/>
      <name val="MS Sans Serif"/>
      <family val="2"/>
      <charset val="1"/>
    </font>
    <font>
      <sz val="8"/>
      <color rgb="FF000000"/>
      <name val="Arial"/>
      <family val="2"/>
      <charset val="1"/>
    </font>
    <font>
      <sz val="10"/>
      <color rgb="FF000000"/>
      <name val="Arial"/>
      <family val="2"/>
      <charset val="1"/>
    </font>
    <font>
      <sz val="9"/>
      <color rgb="FF000000"/>
      <name val="Univers LightUltraCondensed"/>
      <charset val="1"/>
    </font>
    <font>
      <sz val="11"/>
      <color rgb="FF000000"/>
      <name val="Univers LightUltraCondensed"/>
      <charset val="1"/>
    </font>
    <font>
      <b/>
      <sz val="18"/>
      <color rgb="FFFFFFFF"/>
      <name val="Arial"/>
      <family val="2"/>
      <charset val="1"/>
    </font>
    <font>
      <sz val="9"/>
      <color rgb="FF000000"/>
      <name val="Univers 45 Light"/>
      <family val="2"/>
      <charset val="1"/>
    </font>
    <font>
      <b/>
      <sz val="18"/>
      <color rgb="FF000000"/>
      <name val="Univers 45 Light"/>
      <family val="2"/>
      <charset val="1"/>
    </font>
    <font>
      <b/>
      <sz val="22"/>
      <color rgb="FFFFFFFF"/>
      <name val="Univers LightUltraCondensed"/>
      <charset val="1"/>
    </font>
    <font>
      <b/>
      <sz val="22"/>
      <color rgb="FF000000"/>
      <name val="Arial"/>
      <family val="2"/>
      <charset val="1"/>
    </font>
    <font>
      <sz val="22"/>
      <color rgb="FF000000"/>
      <name val="Arial"/>
      <family val="2"/>
      <charset val="1"/>
    </font>
    <font>
      <sz val="14"/>
      <name val="Arial"/>
      <family val="2"/>
      <charset val="1"/>
    </font>
    <font>
      <b/>
      <sz val="28"/>
      <color rgb="FF000000"/>
      <name val="Arial"/>
      <family val="2"/>
      <charset val="1"/>
    </font>
    <font>
      <sz val="16"/>
      <color rgb="FF000000"/>
      <name val="Univers LightUltraCondensed"/>
      <charset val="1"/>
    </font>
    <font>
      <sz val="15"/>
      <name val="Arial"/>
      <family val="2"/>
      <charset val="1"/>
    </font>
    <font>
      <b/>
      <sz val="10"/>
      <color rgb="FFFFFFFF"/>
      <name val="Arial"/>
      <family val="2"/>
      <charset val="1"/>
    </font>
    <font>
      <b/>
      <sz val="10"/>
      <color rgb="FF00B050"/>
      <name val="Arial"/>
      <family val="2"/>
      <charset val="1"/>
    </font>
    <font>
      <b/>
      <sz val="10"/>
      <name val="Arial"/>
      <family val="2"/>
      <charset val="1"/>
    </font>
    <font>
      <sz val="10"/>
      <name val="Arial"/>
      <family val="2"/>
      <charset val="1"/>
    </font>
    <font>
      <b/>
      <sz val="10"/>
      <color rgb="FF000000"/>
      <name val="Arial"/>
      <family val="2"/>
      <charset val="1"/>
    </font>
    <font>
      <sz val="8"/>
      <name val="Arial"/>
      <family val="2"/>
      <charset val="1"/>
    </font>
    <font>
      <b/>
      <sz val="8"/>
      <color rgb="FF000000"/>
      <name val="Arial"/>
      <family val="2"/>
      <charset val="1"/>
    </font>
    <font>
      <b/>
      <sz val="8"/>
      <color rgb="FFFFFFFF"/>
      <name val="Arial"/>
      <family val="2"/>
      <charset val="1"/>
    </font>
    <font>
      <b/>
      <sz val="8"/>
      <color rgb="FF3A5750"/>
      <name val="Arial"/>
      <family val="2"/>
      <charset val="1"/>
    </font>
    <font>
      <b/>
      <sz val="8"/>
      <color rgb="FFFF0000"/>
      <name val="Arial"/>
      <family val="2"/>
      <charset val="1"/>
    </font>
    <font>
      <b/>
      <sz val="8"/>
      <name val="Arial"/>
      <family val="2"/>
      <charset val="1"/>
    </font>
    <font>
      <i/>
      <sz val="8"/>
      <color rgb="FF000000"/>
      <name val="Arial"/>
      <family val="2"/>
      <charset val="1"/>
    </font>
    <font>
      <b/>
      <i/>
      <sz val="8"/>
      <color rgb="FF000000"/>
      <name val="Arial"/>
      <family val="2"/>
      <charset val="1"/>
    </font>
    <font>
      <sz val="8"/>
      <color rgb="FFFFFFFF"/>
      <name val="Arial"/>
      <family val="2"/>
      <charset val="1"/>
    </font>
    <font>
      <b/>
      <i/>
      <sz val="8"/>
      <name val="Arial"/>
      <family val="2"/>
      <charset val="1"/>
    </font>
    <font>
      <sz val="11"/>
      <color rgb="FF000000"/>
      <name val="Calibri"/>
      <family val="2"/>
      <charset val="1"/>
    </font>
  </fonts>
  <fills count="19">
    <fill>
      <patternFill patternType="none"/>
    </fill>
    <fill>
      <patternFill patternType="gray125"/>
    </fill>
    <fill>
      <patternFill patternType="solid">
        <fgColor rgb="FFFFFF00"/>
        <bgColor rgb="FFFFC000"/>
      </patternFill>
    </fill>
    <fill>
      <patternFill patternType="solid">
        <fgColor rgb="FF3A5750"/>
        <bgColor rgb="FF666699"/>
      </patternFill>
    </fill>
    <fill>
      <patternFill patternType="solid">
        <fgColor rgb="FFEFE0BE"/>
        <bgColor rgb="FFDBDDCD"/>
      </patternFill>
    </fill>
    <fill>
      <patternFill patternType="solid">
        <fgColor rgb="FFFFFFFF"/>
        <bgColor rgb="FFF2F2F2"/>
      </patternFill>
    </fill>
    <fill>
      <patternFill patternType="solid">
        <fgColor rgb="FFD5D1D1"/>
        <bgColor rgb="FFD9D9D9"/>
      </patternFill>
    </fill>
    <fill>
      <patternFill patternType="solid">
        <fgColor rgb="FFEAF0F6"/>
        <bgColor rgb="FFF2F2F2"/>
      </patternFill>
    </fill>
    <fill>
      <patternFill patternType="solid">
        <fgColor rgb="FFEAE8E8"/>
        <bgColor rgb="FFEDEEE6"/>
      </patternFill>
    </fill>
    <fill>
      <patternFill patternType="solid">
        <fgColor rgb="FFC0C0C0"/>
        <bgColor rgb="FFBFBFBF"/>
      </patternFill>
    </fill>
    <fill>
      <patternFill patternType="solid">
        <fgColor rgb="FFF7F0DE"/>
        <bgColor rgb="FFEDEEE6"/>
      </patternFill>
    </fill>
    <fill>
      <patternFill patternType="solid">
        <fgColor rgb="FFDBDDCD"/>
        <bgColor rgb="FFD9D9D9"/>
      </patternFill>
    </fill>
    <fill>
      <patternFill patternType="solid">
        <fgColor rgb="FFF2F2F2"/>
        <bgColor rgb="FFEAF0F6"/>
      </patternFill>
    </fill>
    <fill>
      <patternFill patternType="solid">
        <fgColor rgb="FFFFC000"/>
        <bgColor rgb="FFFF9900"/>
      </patternFill>
    </fill>
    <fill>
      <patternFill patternType="solid">
        <fgColor rgb="FFEDEEE6"/>
        <bgColor rgb="FFEAE8E8"/>
      </patternFill>
    </fill>
    <fill>
      <patternFill patternType="solid">
        <fgColor rgb="FFBFBFBF"/>
        <bgColor rgb="FFC0C0C0"/>
      </patternFill>
    </fill>
    <fill>
      <patternFill patternType="solid">
        <fgColor rgb="FF909090"/>
        <bgColor rgb="FF808080"/>
      </patternFill>
    </fill>
    <fill>
      <patternFill patternType="solid">
        <fgColor rgb="FFA6A6A6"/>
        <bgColor rgb="FF909090"/>
      </patternFill>
    </fill>
    <fill>
      <patternFill patternType="solid">
        <fgColor rgb="FFD9D9D9"/>
        <bgColor rgb="FFDBDDCD"/>
      </patternFill>
    </fill>
  </fills>
  <borders count="119">
    <border>
      <left/>
      <right/>
      <top/>
      <bottom/>
      <diagonal/>
    </border>
    <border>
      <left/>
      <right/>
      <top/>
      <bottom style="thin">
        <color auto="1"/>
      </bottom>
      <diagonal/>
    </border>
    <border>
      <left/>
      <right/>
      <top/>
      <bottom style="thin">
        <color rgb="FFFFFFFF"/>
      </bottom>
      <diagonal/>
    </border>
    <border>
      <left style="thin">
        <color rgb="FFFF0000"/>
      </left>
      <right/>
      <top/>
      <bottom/>
      <diagonal/>
    </border>
    <border>
      <left style="thin">
        <color rgb="FF9999FF"/>
      </left>
      <right/>
      <top/>
      <bottom/>
      <diagonal/>
    </border>
    <border>
      <left/>
      <right style="thin">
        <color rgb="FF9999FF"/>
      </right>
      <top/>
      <bottom/>
      <diagonal/>
    </border>
    <border>
      <left style="thin">
        <color rgb="FF9999FF"/>
      </left>
      <right/>
      <top/>
      <bottom style="medium">
        <color rgb="FF9999FF"/>
      </bottom>
      <diagonal/>
    </border>
    <border>
      <left/>
      <right style="thin">
        <color rgb="FF9999FF"/>
      </right>
      <top/>
      <bottom style="medium">
        <color rgb="FF9999FF"/>
      </bottom>
      <diagonal/>
    </border>
    <border>
      <left style="thin">
        <color rgb="FF3A5750"/>
      </left>
      <right/>
      <top style="thin">
        <color rgb="FF3A5750"/>
      </top>
      <bottom style="thin">
        <color rgb="FF3A5750"/>
      </bottom>
      <diagonal/>
    </border>
    <border>
      <left/>
      <right/>
      <top style="thin">
        <color rgb="FF3A5750"/>
      </top>
      <bottom style="thin">
        <color rgb="FF3A5750"/>
      </bottom>
      <diagonal/>
    </border>
    <border>
      <left/>
      <right style="thin">
        <color rgb="FF3A5750"/>
      </right>
      <top style="thin">
        <color rgb="FF3A5750"/>
      </top>
      <bottom style="thin">
        <color rgb="FF3A5750"/>
      </bottom>
      <diagonal/>
    </border>
    <border>
      <left style="thin">
        <color rgb="FF3A5750"/>
      </left>
      <right style="hair">
        <color rgb="FF3A5750"/>
      </right>
      <top style="thin">
        <color rgb="FF3A5750"/>
      </top>
      <bottom style="thin">
        <color rgb="FF3A5750"/>
      </bottom>
      <diagonal/>
    </border>
    <border>
      <left style="hair">
        <color rgb="FF3A5750"/>
      </left>
      <right style="hair">
        <color rgb="FF3A5750"/>
      </right>
      <top style="thin">
        <color rgb="FF3A5750"/>
      </top>
      <bottom style="thin">
        <color rgb="FF3A5750"/>
      </bottom>
      <diagonal/>
    </border>
    <border>
      <left style="hair">
        <color rgb="FF3A5750"/>
      </left>
      <right style="thin">
        <color rgb="FF3A5750"/>
      </right>
      <top style="thin">
        <color rgb="FF3A5750"/>
      </top>
      <bottom style="thin">
        <color rgb="FF3A5750"/>
      </bottom>
      <diagonal/>
    </border>
    <border>
      <left style="thin">
        <color rgb="FF3A5750"/>
      </left>
      <right style="thin">
        <color rgb="FF3A5750"/>
      </right>
      <top style="thin">
        <color rgb="FF3A5750"/>
      </top>
      <bottom style="thin">
        <color rgb="FF3A5750"/>
      </bottom>
      <diagonal/>
    </border>
    <border>
      <left style="thin">
        <color rgb="FF3A5750"/>
      </left>
      <right/>
      <top/>
      <bottom/>
      <diagonal/>
    </border>
    <border>
      <left style="thin">
        <color rgb="FF3A5750"/>
      </left>
      <right style="thin">
        <color rgb="FF3A5750"/>
      </right>
      <top/>
      <bottom/>
      <diagonal/>
    </border>
    <border>
      <left style="thin">
        <color rgb="FF3A5750"/>
      </left>
      <right/>
      <top style="thin">
        <color rgb="FF3A5750"/>
      </top>
      <bottom style="medium">
        <color rgb="FF3A5750"/>
      </bottom>
      <diagonal/>
    </border>
    <border>
      <left style="thin">
        <color rgb="FF3A5750"/>
      </left>
      <right style="hair">
        <color rgb="FF3A5750"/>
      </right>
      <top style="thin">
        <color rgb="FF3A5750"/>
      </top>
      <bottom style="medium">
        <color rgb="FF3A5750"/>
      </bottom>
      <diagonal/>
    </border>
    <border>
      <left style="hair">
        <color rgb="FF3A5750"/>
      </left>
      <right style="hair">
        <color rgb="FF3A5750"/>
      </right>
      <top style="thin">
        <color rgb="FF3A5750"/>
      </top>
      <bottom style="medium">
        <color rgb="FF3A5750"/>
      </bottom>
      <diagonal/>
    </border>
    <border>
      <left/>
      <right style="thin">
        <color rgb="FF3A5750"/>
      </right>
      <top style="thin">
        <color rgb="FF3A5750"/>
      </top>
      <bottom style="medium">
        <color rgb="FF3A5750"/>
      </bottom>
      <diagonal/>
    </border>
    <border>
      <left style="thin">
        <color rgb="FF3A5750"/>
      </left>
      <right style="thin">
        <color rgb="FF3A5750"/>
      </right>
      <top style="thin">
        <color rgb="FF3A5750"/>
      </top>
      <bottom style="medium">
        <color rgb="FF3A5750"/>
      </bottom>
      <diagonal/>
    </border>
    <border>
      <left style="thin">
        <color auto="1"/>
      </left>
      <right style="hair">
        <color rgb="FF3A5750"/>
      </right>
      <top style="thin">
        <color rgb="FF3A5750"/>
      </top>
      <bottom style="medium">
        <color rgb="FF3A5750"/>
      </bottom>
      <diagonal/>
    </border>
    <border>
      <left/>
      <right/>
      <top style="medium">
        <color rgb="FF3A5750"/>
      </top>
      <bottom style="thin">
        <color rgb="FF3A5750"/>
      </bottom>
      <diagonal/>
    </border>
    <border>
      <left/>
      <right/>
      <top/>
      <bottom style="thin">
        <color rgb="FF3A5750"/>
      </bottom>
      <diagonal/>
    </border>
    <border>
      <left/>
      <right/>
      <top style="medium">
        <color rgb="FF3A5750"/>
      </top>
      <bottom/>
      <diagonal/>
    </border>
    <border>
      <left/>
      <right style="thin">
        <color rgb="FF3A5750"/>
      </right>
      <top style="medium">
        <color rgb="FF3A5750"/>
      </top>
      <bottom style="thin">
        <color rgb="FF3A5750"/>
      </bottom>
      <diagonal/>
    </border>
    <border>
      <left style="hair">
        <color rgb="FF3A5750"/>
      </left>
      <right/>
      <top style="thin">
        <color rgb="FF3A5750"/>
      </top>
      <bottom style="medium">
        <color rgb="FF3A5750"/>
      </bottom>
      <diagonal/>
    </border>
    <border>
      <left style="thin">
        <color rgb="FF3A5750"/>
      </left>
      <right style="thin">
        <color auto="1"/>
      </right>
      <top style="thin">
        <color rgb="FF3A5750"/>
      </top>
      <bottom style="medium">
        <color rgb="FF3A5750"/>
      </bottom>
      <diagonal/>
    </border>
    <border>
      <left/>
      <right/>
      <top style="thin">
        <color rgb="FF3A5750"/>
      </top>
      <bottom style="medium">
        <color rgb="FF3A5750"/>
      </bottom>
      <diagonal/>
    </border>
    <border>
      <left style="thin">
        <color auto="1"/>
      </left>
      <right style="thin">
        <color rgb="FF3A5750"/>
      </right>
      <top style="thin">
        <color rgb="FF3A5750"/>
      </top>
      <bottom style="medium">
        <color rgb="FF3A5750"/>
      </bottom>
      <diagonal/>
    </border>
    <border>
      <left style="thin">
        <color rgb="FF3A5750"/>
      </left>
      <right/>
      <top style="medium">
        <color rgb="FF3A5750"/>
      </top>
      <bottom style="hair">
        <color rgb="FF3A5750"/>
      </bottom>
      <diagonal/>
    </border>
    <border>
      <left/>
      <right style="thin">
        <color rgb="FF3A5750"/>
      </right>
      <top style="medium">
        <color rgb="FF3A5750"/>
      </top>
      <bottom style="hair">
        <color rgb="FF3A5750"/>
      </bottom>
      <diagonal/>
    </border>
    <border>
      <left style="hair">
        <color rgb="FF3A5750"/>
      </left>
      <right style="hair">
        <color rgb="FF3A5750"/>
      </right>
      <top style="medium">
        <color rgb="FF3A5750"/>
      </top>
      <bottom style="hair">
        <color rgb="FF3A5750"/>
      </bottom>
      <diagonal/>
    </border>
    <border>
      <left/>
      <right style="thin">
        <color rgb="FF3A5750"/>
      </right>
      <top style="hair">
        <color rgb="FF3A5750"/>
      </top>
      <bottom style="hair">
        <color rgb="FF3A5750"/>
      </bottom>
      <diagonal/>
    </border>
    <border>
      <left style="thin">
        <color rgb="FF3A5750"/>
      </left>
      <right style="thin">
        <color rgb="FF3A5750"/>
      </right>
      <top style="medium">
        <color rgb="FF3A5750"/>
      </top>
      <bottom style="hair">
        <color rgb="FF3A5750"/>
      </bottom>
      <diagonal/>
    </border>
    <border>
      <left style="thin">
        <color rgb="FF3A5750"/>
      </left>
      <right style="hair">
        <color rgb="FF3A5750"/>
      </right>
      <top style="medium">
        <color rgb="FF3A5750"/>
      </top>
      <bottom style="hair">
        <color rgb="FF3A5750"/>
      </bottom>
      <diagonal/>
    </border>
    <border>
      <left style="hair">
        <color rgb="FF3A5750"/>
      </left>
      <right style="thin">
        <color rgb="FF3A5750"/>
      </right>
      <top style="medium">
        <color rgb="FF3A5750"/>
      </top>
      <bottom style="hair">
        <color rgb="FF3A5750"/>
      </bottom>
      <diagonal/>
    </border>
    <border>
      <left style="thin">
        <color auto="1"/>
      </left>
      <right style="hair">
        <color rgb="FF3A5750"/>
      </right>
      <top style="medium">
        <color rgb="FF3A5750"/>
      </top>
      <bottom style="hair">
        <color rgb="FF3A5750"/>
      </bottom>
      <diagonal/>
    </border>
    <border>
      <left style="thin">
        <color rgb="FF3A5750"/>
      </left>
      <right/>
      <top style="hair">
        <color rgb="FF3A5750"/>
      </top>
      <bottom style="hair">
        <color rgb="FF3A5750"/>
      </bottom>
      <diagonal/>
    </border>
    <border>
      <left style="hair">
        <color rgb="FF3A5750"/>
      </left>
      <right style="hair">
        <color rgb="FF3A5750"/>
      </right>
      <top style="hair">
        <color rgb="FF3A5750"/>
      </top>
      <bottom style="hair">
        <color rgb="FF3A5750"/>
      </bottom>
      <diagonal/>
    </border>
    <border>
      <left style="thin">
        <color rgb="FF3A5750"/>
      </left>
      <right style="thin">
        <color rgb="FF3A5750"/>
      </right>
      <top style="hair">
        <color rgb="FF3A5750"/>
      </top>
      <bottom style="hair">
        <color rgb="FF3A5750"/>
      </bottom>
      <diagonal/>
    </border>
    <border>
      <left style="thin">
        <color rgb="FF3A5750"/>
      </left>
      <right style="hair">
        <color rgb="FF3A5750"/>
      </right>
      <top style="hair">
        <color rgb="FF3A5750"/>
      </top>
      <bottom style="hair">
        <color rgb="FF3A5750"/>
      </bottom>
      <diagonal/>
    </border>
    <border>
      <left style="hair">
        <color rgb="FF3A5750"/>
      </left>
      <right style="thin">
        <color rgb="FF3A5750"/>
      </right>
      <top style="hair">
        <color rgb="FF3A5750"/>
      </top>
      <bottom style="hair">
        <color rgb="FF3A5750"/>
      </bottom>
      <diagonal/>
    </border>
    <border>
      <left style="thin">
        <color auto="1"/>
      </left>
      <right style="hair">
        <color rgb="FF3A5750"/>
      </right>
      <top style="hair">
        <color rgb="FF3A5750"/>
      </top>
      <bottom style="hair">
        <color rgb="FF3A5750"/>
      </bottom>
      <diagonal/>
    </border>
    <border>
      <left style="thin">
        <color rgb="FF3A5750"/>
      </left>
      <right/>
      <top style="hair">
        <color rgb="FF3A5750"/>
      </top>
      <bottom style="thin">
        <color rgb="FF3A5750"/>
      </bottom>
      <diagonal/>
    </border>
    <border>
      <left/>
      <right style="thin">
        <color rgb="FF3A5750"/>
      </right>
      <top style="hair">
        <color rgb="FF3A5750"/>
      </top>
      <bottom style="thin">
        <color rgb="FF3A5750"/>
      </bottom>
      <diagonal/>
    </border>
    <border>
      <left style="hair">
        <color rgb="FF3A5750"/>
      </left>
      <right style="hair">
        <color rgb="FF3A5750"/>
      </right>
      <top style="hair">
        <color rgb="FF3A5750"/>
      </top>
      <bottom style="thin">
        <color rgb="FF3A5750"/>
      </bottom>
      <diagonal/>
    </border>
    <border>
      <left style="thin">
        <color rgb="FF3A5750"/>
      </left>
      <right style="thin">
        <color rgb="FF3A5750"/>
      </right>
      <top style="hair">
        <color rgb="FF3A5750"/>
      </top>
      <bottom style="thin">
        <color rgb="FF3A5750"/>
      </bottom>
      <diagonal/>
    </border>
    <border>
      <left style="thin">
        <color rgb="FF3A5750"/>
      </left>
      <right style="hair">
        <color rgb="FF3A5750"/>
      </right>
      <top style="hair">
        <color rgb="FF3A5750"/>
      </top>
      <bottom style="thin">
        <color rgb="FF3A5750"/>
      </bottom>
      <diagonal/>
    </border>
    <border>
      <left style="hair">
        <color rgb="FF3A5750"/>
      </left>
      <right style="thin">
        <color rgb="FF3A5750"/>
      </right>
      <top style="hair">
        <color rgb="FF3A5750"/>
      </top>
      <bottom style="thin">
        <color rgb="FF3A5750"/>
      </bottom>
      <diagonal/>
    </border>
    <border>
      <left style="thin">
        <color auto="1"/>
      </left>
      <right style="hair">
        <color rgb="FF3A5750"/>
      </right>
      <top style="hair">
        <color rgb="FF3A5750"/>
      </top>
      <bottom style="thin">
        <color rgb="FF3A575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3A5750"/>
      </bottom>
      <diagonal/>
    </border>
    <border>
      <left style="thin">
        <color auto="1"/>
      </left>
      <right style="thin">
        <color auto="1"/>
      </right>
      <top style="thin">
        <color rgb="FF3A5750"/>
      </top>
      <bottom style="thin">
        <color rgb="FF3A5750"/>
      </bottom>
      <diagonal/>
    </border>
    <border>
      <left style="thin">
        <color auto="1"/>
      </left>
      <right style="thin">
        <color auto="1"/>
      </right>
      <top style="thin">
        <color rgb="FF3A5750"/>
      </top>
      <bottom style="thin">
        <color auto="1"/>
      </bottom>
      <diagonal/>
    </border>
    <border>
      <left style="hair">
        <color rgb="FF3A5750"/>
      </left>
      <right style="hair">
        <color rgb="FF3A5750"/>
      </right>
      <top style="thin">
        <color rgb="FF3A5750"/>
      </top>
      <bottom/>
      <diagonal/>
    </border>
    <border>
      <left style="hair">
        <color rgb="FF3A5750"/>
      </left>
      <right style="hair">
        <color rgb="FF3A5750"/>
      </right>
      <top style="thin">
        <color auto="1"/>
      </top>
      <bottom style="medium">
        <color rgb="FF3A5750"/>
      </bottom>
      <diagonal/>
    </border>
    <border>
      <left/>
      <right style="hair">
        <color rgb="FF3A5750"/>
      </right>
      <top style="thin">
        <color rgb="FF3A5750"/>
      </top>
      <bottom style="medium">
        <color rgb="FF3A5750"/>
      </bottom>
      <diagonal/>
    </border>
    <border>
      <left style="hair">
        <color rgb="FF3A5750"/>
      </left>
      <right style="thin">
        <color rgb="FF3A5750"/>
      </right>
      <top style="thin">
        <color rgb="FF3A5750"/>
      </top>
      <bottom style="medium">
        <color rgb="FF3A5750"/>
      </bottom>
      <diagonal/>
    </border>
    <border>
      <left style="thin">
        <color auto="1"/>
      </left>
      <right style="thin">
        <color auto="1"/>
      </right>
      <top style="thin">
        <color auto="1"/>
      </top>
      <bottom style="medium">
        <color rgb="FF3A5750"/>
      </bottom>
      <diagonal/>
    </border>
    <border>
      <left style="thin">
        <color rgb="FF3A5750"/>
      </left>
      <right style="hair">
        <color rgb="FF3A5750"/>
      </right>
      <top/>
      <bottom style="hair">
        <color rgb="FF3A5750"/>
      </bottom>
      <diagonal/>
    </border>
    <border>
      <left style="hair">
        <color rgb="FF3A5750"/>
      </left>
      <right style="hair">
        <color rgb="FF3A5750"/>
      </right>
      <top/>
      <bottom style="hair">
        <color rgb="FF3A5750"/>
      </bottom>
      <diagonal/>
    </border>
    <border>
      <left style="hair">
        <color rgb="FF3A5750"/>
      </left>
      <right style="thin">
        <color rgb="FF3A5750"/>
      </right>
      <top/>
      <bottom style="hair">
        <color rgb="FF3A5750"/>
      </bottom>
      <diagonal/>
    </border>
    <border>
      <left style="thin">
        <color rgb="FF3A5750"/>
      </left>
      <right/>
      <top/>
      <bottom style="thin">
        <color rgb="FF3A5750"/>
      </bottom>
      <diagonal/>
    </border>
    <border>
      <left style="thin">
        <color rgb="FFFFFFFF"/>
      </left>
      <right/>
      <top style="thin">
        <color rgb="FF3A5750"/>
      </top>
      <bottom style="thin">
        <color auto="1"/>
      </bottom>
      <diagonal/>
    </border>
    <border>
      <left style="hair">
        <color auto="1"/>
      </left>
      <right style="hair">
        <color auto="1"/>
      </right>
      <top style="thin">
        <color auto="1"/>
      </top>
      <bottom style="thin">
        <color auto="1"/>
      </bottom>
      <diagonal/>
    </border>
    <border>
      <left/>
      <right/>
      <top style="thin">
        <color auto="1"/>
      </top>
      <bottom style="thin">
        <color auto="1"/>
      </bottom>
      <diagonal/>
    </border>
    <border>
      <left/>
      <right/>
      <top style="thin">
        <color auto="1"/>
      </top>
      <bottom style="thin">
        <color rgb="FF3A5750"/>
      </bottom>
      <diagonal/>
    </border>
    <border>
      <left/>
      <right style="thin">
        <color rgb="FF3A5750"/>
      </right>
      <top style="thin">
        <color auto="1"/>
      </top>
      <bottom style="thin">
        <color rgb="FF3A5750"/>
      </bottom>
      <diagonal/>
    </border>
    <border>
      <left style="thin">
        <color rgb="FF3A5750"/>
      </left>
      <right style="thin">
        <color rgb="FF3A5750"/>
      </right>
      <top style="thin">
        <color rgb="FF3A5750"/>
      </top>
      <bottom/>
      <diagonal/>
    </border>
    <border>
      <left style="thin">
        <color rgb="FF3A5750"/>
      </left>
      <right/>
      <top style="thin">
        <color rgb="FF3A5750"/>
      </top>
      <bottom/>
      <diagonal/>
    </border>
    <border>
      <left style="hair">
        <color auto="1"/>
      </left>
      <right style="hair">
        <color auto="1"/>
      </right>
      <top style="thin">
        <color rgb="FF3A5750"/>
      </top>
      <bottom/>
      <diagonal/>
    </border>
    <border>
      <left/>
      <right style="thin">
        <color rgb="FF3A5750"/>
      </right>
      <top style="thin">
        <color rgb="FF3A5750"/>
      </top>
      <bottom/>
      <diagonal/>
    </border>
    <border>
      <left style="hair">
        <color auto="1"/>
      </left>
      <right style="hair">
        <color auto="1"/>
      </right>
      <top style="hair">
        <color rgb="FF3A5750"/>
      </top>
      <bottom style="hair">
        <color rgb="FF3A5750"/>
      </bottom>
      <diagonal/>
    </border>
    <border>
      <left style="hair">
        <color auto="1"/>
      </left>
      <right style="hair">
        <color auto="1"/>
      </right>
      <top style="hair">
        <color rgb="FF3A5750"/>
      </top>
      <bottom style="thin">
        <color rgb="FF3A5750"/>
      </bottom>
      <diagonal/>
    </border>
    <border>
      <left style="thin">
        <color rgb="FF3A5750"/>
      </left>
      <right style="thin">
        <color rgb="FF3A5750"/>
      </right>
      <top/>
      <bottom style="thin">
        <color rgb="FF3A5750"/>
      </bottom>
      <diagonal/>
    </border>
    <border>
      <left style="hair">
        <color auto="1"/>
      </left>
      <right style="hair">
        <color auto="1"/>
      </right>
      <top/>
      <bottom/>
      <diagonal/>
    </border>
    <border>
      <left/>
      <right style="thin">
        <color rgb="FF3A5750"/>
      </right>
      <top/>
      <bottom style="thin">
        <color rgb="FF3A5750"/>
      </bottom>
      <diagonal/>
    </border>
    <border>
      <left style="hair">
        <color auto="1"/>
      </left>
      <right style="hair">
        <color auto="1"/>
      </right>
      <top/>
      <bottom style="thin">
        <color rgb="FF3A5750"/>
      </bottom>
      <diagonal/>
    </border>
    <border>
      <left style="thin">
        <color rgb="FF3A5750"/>
      </left>
      <right style="thin">
        <color rgb="FF3A5750"/>
      </right>
      <top style="thin">
        <color rgb="FF3A5750"/>
      </top>
      <bottom style="double">
        <color rgb="FF3A5750"/>
      </bottom>
      <diagonal/>
    </border>
    <border>
      <left style="thin">
        <color rgb="FF3A5750"/>
      </left>
      <right/>
      <top style="thin">
        <color rgb="FF3A5750"/>
      </top>
      <bottom style="double">
        <color rgb="FF3A5750"/>
      </bottom>
      <diagonal/>
    </border>
    <border>
      <left style="hair">
        <color auto="1"/>
      </left>
      <right style="hair">
        <color auto="1"/>
      </right>
      <top style="thin">
        <color rgb="FF3A5750"/>
      </top>
      <bottom style="double">
        <color rgb="FF3A5750"/>
      </bottom>
      <diagonal/>
    </border>
    <border>
      <left/>
      <right style="thin">
        <color rgb="FF3A5750"/>
      </right>
      <top style="thin">
        <color rgb="FF3A5750"/>
      </top>
      <bottom style="double">
        <color rgb="FF3A5750"/>
      </bottom>
      <diagonal/>
    </border>
    <border>
      <left style="hair">
        <color auto="1"/>
      </left>
      <right style="hair">
        <color auto="1"/>
      </right>
      <top style="thin">
        <color rgb="FF3A5750"/>
      </top>
      <bottom style="medium">
        <color rgb="FF3A5750"/>
      </bottom>
      <diagonal/>
    </border>
    <border>
      <left/>
      <right style="thin">
        <color rgb="FF3A5750"/>
      </right>
      <top/>
      <bottom style="medium">
        <color rgb="FF3A5750"/>
      </bottom>
      <diagonal/>
    </border>
    <border>
      <left/>
      <right/>
      <top/>
      <bottom style="thin">
        <color rgb="FFFF0000"/>
      </bottom>
      <diagonal/>
    </border>
    <border>
      <left style="thin">
        <color rgb="FF3A5750"/>
      </left>
      <right style="hair">
        <color rgb="FF3A5750"/>
      </right>
      <top style="thin">
        <color rgb="FF3A5750"/>
      </top>
      <bottom/>
      <diagonal/>
    </border>
    <border>
      <left style="hair">
        <color rgb="FF3A5750"/>
      </left>
      <right style="thin">
        <color rgb="FF3A5750"/>
      </right>
      <top style="thin">
        <color rgb="FF3A5750"/>
      </top>
      <bottom/>
      <diagonal/>
    </border>
    <border>
      <left/>
      <right/>
      <top style="thin">
        <color rgb="FFFF0000"/>
      </top>
      <bottom/>
      <diagonal/>
    </border>
    <border>
      <left style="thin">
        <color rgb="FF3A5750"/>
      </left>
      <right style="thin">
        <color rgb="FF3A5750"/>
      </right>
      <top/>
      <bottom style="hair">
        <color rgb="FF3A5750"/>
      </bottom>
      <diagonal/>
    </border>
    <border>
      <left style="thin">
        <color auto="1"/>
      </left>
      <right style="hair">
        <color rgb="FF3A5750"/>
      </right>
      <top style="thin">
        <color rgb="FF3A5750"/>
      </top>
      <bottom style="thin">
        <color rgb="FF3A5750"/>
      </bottom>
      <diagonal/>
    </border>
    <border>
      <left style="thin">
        <color rgb="FF3A5750"/>
      </left>
      <right style="thin">
        <color rgb="FF3A5750"/>
      </right>
      <top/>
      <bottom style="medium">
        <color rgb="FF3A5750"/>
      </bottom>
      <diagonal/>
    </border>
    <border>
      <left style="thin">
        <color rgb="FF3A5750"/>
      </left>
      <right/>
      <top/>
      <bottom style="medium">
        <color rgb="FF3A5750"/>
      </bottom>
      <diagonal/>
    </border>
    <border>
      <left style="hair">
        <color auto="1"/>
      </left>
      <right style="hair">
        <color auto="1"/>
      </right>
      <top/>
      <bottom style="medium">
        <color rgb="FF3A5750"/>
      </bottom>
      <diagonal/>
    </border>
    <border>
      <left/>
      <right/>
      <top style="thin">
        <color rgb="FF3A5750"/>
      </top>
      <bottom/>
      <diagonal/>
    </border>
    <border>
      <left style="thin">
        <color auto="1"/>
      </left>
      <right style="hair">
        <color auto="1"/>
      </right>
      <top style="thin">
        <color rgb="FF3A5750"/>
      </top>
      <bottom style="thin">
        <color auto="1"/>
      </bottom>
      <diagonal/>
    </border>
    <border>
      <left style="hair">
        <color auto="1"/>
      </left>
      <right style="hair">
        <color auto="1"/>
      </right>
      <top style="thin">
        <color rgb="FF3A5750"/>
      </top>
      <bottom style="thin">
        <color auto="1"/>
      </bottom>
      <diagonal/>
    </border>
    <border>
      <left style="hair">
        <color auto="1"/>
      </left>
      <right style="thin">
        <color auto="1"/>
      </right>
      <top style="thin">
        <color rgb="FF3A5750"/>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bottom/>
      <diagonal/>
    </border>
    <border>
      <left style="hair">
        <color rgb="FFFF0000"/>
      </left>
      <right/>
      <top/>
      <bottom/>
      <diagonal/>
    </border>
    <border>
      <left/>
      <right style="thin">
        <color auto="1"/>
      </right>
      <top style="thin">
        <color auto="1"/>
      </top>
      <bottom style="thin">
        <color rgb="FF3A5750"/>
      </bottom>
      <diagonal/>
    </border>
    <border>
      <left style="thin">
        <color rgb="FF3A5750"/>
      </left>
      <right style="thin">
        <color rgb="FF3A5750"/>
      </right>
      <top style="thin">
        <color auto="1"/>
      </top>
      <bottom style="medium">
        <color rgb="FF3A5750"/>
      </bottom>
      <diagonal/>
    </border>
    <border>
      <left/>
      <right style="thin">
        <color rgb="FFFF0000"/>
      </right>
      <top/>
      <bottom style="thin">
        <color rgb="FFFF0000"/>
      </bottom>
      <diagonal/>
    </border>
    <border>
      <left/>
      <right/>
      <top style="medium">
        <color rgb="FF3A5750"/>
      </top>
      <bottom style="hair">
        <color rgb="FF3A5750"/>
      </bottom>
      <diagonal/>
    </border>
    <border>
      <left/>
      <right/>
      <top style="hair">
        <color rgb="FF3A5750"/>
      </top>
      <bottom style="hair">
        <color rgb="FF3A5750"/>
      </bottom>
      <diagonal/>
    </border>
    <border>
      <left/>
      <right/>
      <top style="hair">
        <color rgb="FF3A5750"/>
      </top>
      <bottom style="thin">
        <color rgb="FF3A5750"/>
      </bottom>
      <diagonal/>
    </border>
    <border>
      <left style="thin">
        <color auto="1"/>
      </left>
      <right/>
      <top/>
      <bottom/>
      <diagonal/>
    </border>
    <border>
      <left style="thin">
        <color rgb="FFFFFFFF"/>
      </left>
      <right style="thin">
        <color rgb="FFFFFFFF"/>
      </right>
      <top style="thin">
        <color rgb="FF3A5750"/>
      </top>
      <bottom style="thin">
        <color rgb="FFFFFFFF"/>
      </bottom>
      <diagonal/>
    </border>
    <border>
      <left style="thin">
        <color rgb="FFFFFFFF"/>
      </left>
      <right style="thin">
        <color auto="1"/>
      </right>
      <top style="thin">
        <color rgb="FF3A5750"/>
      </top>
      <bottom style="thin">
        <color rgb="FFFFFFFF"/>
      </bottom>
      <diagonal/>
    </border>
    <border>
      <left style="thin">
        <color rgb="FFFFFFFF"/>
      </left>
      <right style="thin">
        <color auto="1"/>
      </right>
      <top style="thin">
        <color rgb="FFFFFFFF"/>
      </top>
      <bottom style="thin">
        <color auto="1"/>
      </bottom>
      <diagonal/>
    </border>
    <border>
      <left style="hair">
        <color rgb="FF3A5750"/>
      </left>
      <right style="hair">
        <color rgb="FF3A5750"/>
      </right>
      <top style="thin">
        <color auto="1"/>
      </top>
      <bottom style="thin">
        <color auto="1"/>
      </bottom>
      <diagonal/>
    </border>
    <border>
      <left/>
      <right style="thin">
        <color auto="1"/>
      </right>
      <top style="thin">
        <color auto="1"/>
      </top>
      <bottom style="thin">
        <color auto="1"/>
      </bottom>
      <diagonal/>
    </border>
    <border>
      <left style="thin">
        <color rgb="FF3A5750"/>
      </left>
      <right/>
      <top style="thin">
        <color auto="1"/>
      </top>
      <bottom style="thin">
        <color rgb="FF3A5750"/>
      </bottom>
      <diagonal/>
    </border>
    <border>
      <left style="hair">
        <color rgb="FF3A5750"/>
      </left>
      <right style="hair">
        <color rgb="FF3A5750"/>
      </right>
      <top/>
      <bottom style="thin">
        <color rgb="FF3A5750"/>
      </bottom>
      <diagonal/>
    </border>
    <border>
      <left style="hair">
        <color rgb="FF3A5750"/>
      </left>
      <right style="hair">
        <color rgb="FF3A5750"/>
      </right>
      <top style="thin">
        <color rgb="FF3A5750"/>
      </top>
      <bottom style="double">
        <color rgb="FF3A5750"/>
      </bottom>
      <diagonal/>
    </border>
    <border>
      <left style="hair">
        <color rgb="FF3A5750"/>
      </left>
      <right style="hair">
        <color rgb="FF3A5750"/>
      </right>
      <top/>
      <bottom style="medium">
        <color rgb="FF3A5750"/>
      </bottom>
      <diagonal/>
    </border>
  </borders>
  <cellStyleXfs count="6">
    <xf numFmtId="0" fontId="0" fillId="0" borderId="0"/>
    <xf numFmtId="164" fontId="31" fillId="0" borderId="0" applyBorder="0" applyProtection="0"/>
    <xf numFmtId="0" fontId="1" fillId="0" borderId="0"/>
    <xf numFmtId="0" fontId="2" fillId="0" borderId="0"/>
    <xf numFmtId="0" fontId="3" fillId="0" borderId="0"/>
    <xf numFmtId="0" fontId="31" fillId="0" borderId="0"/>
  </cellStyleXfs>
  <cellXfs count="396">
    <xf numFmtId="0" fontId="0" fillId="0" borderId="0" xfId="0"/>
    <xf numFmtId="0" fontId="4" fillId="0" borderId="0" xfId="4" applyFont="1"/>
    <xf numFmtId="0" fontId="5" fillId="0" borderId="0" xfId="5" applyFont="1"/>
    <xf numFmtId="0" fontId="6" fillId="0" borderId="0" xfId="4" applyFont="1"/>
    <xf numFmtId="0" fontId="7" fillId="0" borderId="0" xfId="4" applyFont="1"/>
    <xf numFmtId="0" fontId="8" fillId="0" borderId="0" xfId="5" applyFont="1" applyAlignment="1">
      <alignment horizontal="center"/>
    </xf>
    <xf numFmtId="0" fontId="9" fillId="0" borderId="0" xfId="5" applyFont="1"/>
    <xf numFmtId="0" fontId="10" fillId="0" borderId="0" xfId="4" applyFont="1" applyAlignment="1">
      <alignment vertical="center"/>
    </xf>
    <xf numFmtId="0" fontId="11" fillId="0" borderId="0" xfId="4" applyFont="1"/>
    <xf numFmtId="0" fontId="4" fillId="0" borderId="2" xfId="4" applyFont="1" applyBorder="1"/>
    <xf numFmtId="0" fontId="4" fillId="0" borderId="0" xfId="4" applyFont="1" applyBorder="1"/>
    <xf numFmtId="0" fontId="12" fillId="0" borderId="0" xfId="4" applyFont="1" applyAlignment="1">
      <alignment wrapText="1"/>
    </xf>
    <xf numFmtId="0" fontId="4" fillId="0" borderId="0" xfId="4" applyFont="1"/>
    <xf numFmtId="0" fontId="14" fillId="0" borderId="0" xfId="4" applyFont="1"/>
    <xf numFmtId="0" fontId="12" fillId="0" borderId="0" xfId="4" applyFont="1"/>
    <xf numFmtId="0" fontId="15" fillId="0" borderId="0" xfId="4" applyFont="1"/>
    <xf numFmtId="0" fontId="3" fillId="0" borderId="0" xfId="0" applyFont="1"/>
    <xf numFmtId="0" fontId="16" fillId="3" borderId="3" xfId="2" applyFont="1" applyFill="1" applyBorder="1" applyAlignment="1">
      <alignment vertical="center"/>
    </xf>
    <xf numFmtId="0" fontId="17" fillId="0" borderId="0" xfId="2" applyFont="1" applyAlignment="1">
      <alignment vertical="center"/>
    </xf>
    <xf numFmtId="0" fontId="18" fillId="0" borderId="0" xfId="2" applyFont="1" applyAlignment="1">
      <alignment vertical="center" wrapText="1"/>
    </xf>
    <xf numFmtId="0" fontId="20" fillId="4" borderId="0" xfId="0" applyFont="1" applyFill="1" applyAlignment="1">
      <alignment vertical="center" wrapText="1"/>
    </xf>
    <xf numFmtId="0" fontId="21" fillId="5" borderId="4" xfId="0" applyFont="1" applyFill="1" applyBorder="1" applyAlignment="1">
      <alignment horizontal="left" vertical="center"/>
    </xf>
    <xf numFmtId="0" fontId="21" fillId="5" borderId="5" xfId="0" applyFont="1" applyFill="1" applyBorder="1" applyAlignment="1">
      <alignment horizontal="left" vertical="center"/>
    </xf>
    <xf numFmtId="0" fontId="21" fillId="5" borderId="6" xfId="0" applyFont="1" applyFill="1" applyBorder="1" applyAlignment="1">
      <alignment horizontal="left" vertical="center"/>
    </xf>
    <xf numFmtId="0" fontId="21" fillId="5" borderId="7" xfId="0" applyFont="1" applyFill="1" applyBorder="1" applyAlignment="1">
      <alignment horizontal="left" vertical="center"/>
    </xf>
    <xf numFmtId="0" fontId="2" fillId="0" borderId="0" xfId="0" applyFont="1"/>
    <xf numFmtId="0" fontId="2" fillId="0" borderId="0" xfId="0" applyFont="1" applyAlignment="1">
      <alignment wrapText="1"/>
    </xf>
    <xf numFmtId="0" fontId="2" fillId="0" borderId="0" xfId="0" applyFont="1" applyBorder="1"/>
    <xf numFmtId="0" fontId="22" fillId="6" borderId="0" xfId="0" applyFont="1" applyFill="1" applyAlignment="1">
      <alignment vertical="center"/>
    </xf>
    <xf numFmtId="0" fontId="22" fillId="6" borderId="0" xfId="0" applyFont="1" applyFill="1" applyAlignment="1" applyProtection="1">
      <alignment vertical="center" wrapText="1"/>
      <protection locked="0"/>
    </xf>
    <xf numFmtId="0" fontId="22" fillId="0" borderId="0" xfId="0" applyFont="1" applyAlignment="1">
      <alignment wrapText="1"/>
    </xf>
    <xf numFmtId="0" fontId="23" fillId="3" borderId="8" xfId="0" applyFont="1" applyFill="1" applyBorder="1" applyAlignment="1">
      <alignment vertical="center"/>
    </xf>
    <xf numFmtId="0" fontId="23" fillId="3" borderId="9" xfId="0" applyFont="1" applyFill="1" applyBorder="1" applyAlignment="1">
      <alignment vertical="center" wrapText="1"/>
    </xf>
    <xf numFmtId="0" fontId="23" fillId="3" borderId="9" xfId="0" applyFont="1" applyFill="1" applyBorder="1" applyAlignment="1">
      <alignment vertical="center"/>
    </xf>
    <xf numFmtId="0" fontId="23" fillId="3" borderId="10" xfId="0" applyFont="1" applyFill="1" applyBorder="1" applyAlignment="1">
      <alignment vertical="center"/>
    </xf>
    <xf numFmtId="0" fontId="23" fillId="0" borderId="0" xfId="0" applyFont="1" applyBorder="1" applyAlignment="1">
      <alignment vertical="center"/>
    </xf>
    <xf numFmtId="0" fontId="24" fillId="0" borderId="8" xfId="0" applyFont="1" applyBorder="1" applyAlignment="1">
      <alignment vertical="center"/>
    </xf>
    <xf numFmtId="0" fontId="24" fillId="0" borderId="9" xfId="0" applyFont="1" applyBorder="1" applyAlignment="1"/>
    <xf numFmtId="0" fontId="24" fillId="0" borderId="10" xfId="0" applyFont="1" applyBorder="1" applyAlignment="1"/>
    <xf numFmtId="0" fontId="25" fillId="0" borderId="0" xfId="0" applyFont="1" applyBorder="1" applyAlignment="1"/>
    <xf numFmtId="1" fontId="22" fillId="0" borderId="11" xfId="0" applyNumberFormat="1" applyFont="1" applyBorder="1" applyAlignment="1">
      <alignment horizontal="center" vertical="center" wrapText="1"/>
    </xf>
    <xf numFmtId="1" fontId="26" fillId="0" borderId="12" xfId="0" applyNumberFormat="1" applyFont="1" applyBorder="1" applyAlignment="1">
      <alignment horizontal="center" vertical="center" wrapText="1"/>
    </xf>
    <xf numFmtId="1" fontId="22" fillId="0" borderId="13" xfId="0" applyNumberFormat="1" applyFont="1" applyBorder="1" applyAlignment="1">
      <alignment horizontal="center" vertical="center" wrapText="1"/>
    </xf>
    <xf numFmtId="1" fontId="26" fillId="7" borderId="14" xfId="0" applyNumberFormat="1" applyFont="1" applyFill="1" applyBorder="1" applyAlignment="1">
      <alignment horizontal="center" vertical="center" wrapText="1"/>
    </xf>
    <xf numFmtId="1" fontId="26" fillId="8" borderId="11" xfId="0" applyNumberFormat="1" applyFont="1" applyFill="1" applyBorder="1" applyAlignment="1">
      <alignment horizontal="center" vertical="center" wrapText="1"/>
    </xf>
    <xf numFmtId="1" fontId="27" fillId="0" borderId="12" xfId="0" applyNumberFormat="1" applyFont="1" applyBorder="1" applyAlignment="1">
      <alignment horizontal="center" vertical="center" wrapText="1"/>
    </xf>
    <xf numFmtId="1" fontId="27" fillId="0" borderId="13" xfId="0" applyNumberFormat="1" applyFont="1" applyBorder="1" applyAlignment="1">
      <alignment horizontal="center" vertical="center" wrapText="1"/>
    </xf>
    <xf numFmtId="1" fontId="22" fillId="0" borderId="15" xfId="0" applyNumberFormat="1" applyFont="1" applyBorder="1" applyAlignment="1">
      <alignment horizontal="center" vertical="center" wrapText="1"/>
    </xf>
    <xf numFmtId="1" fontId="22" fillId="0" borderId="14" xfId="0" applyNumberFormat="1" applyFont="1" applyBorder="1" applyAlignment="1">
      <alignment horizontal="center" vertical="center" wrapText="1"/>
    </xf>
    <xf numFmtId="1" fontId="22" fillId="0" borderId="0" xfId="0" applyNumberFormat="1" applyFont="1" applyBorder="1" applyAlignment="1">
      <alignment horizontal="center" vertical="center" wrapText="1"/>
    </xf>
    <xf numFmtId="1" fontId="22" fillId="0" borderId="12" xfId="0" applyNumberFormat="1" applyFont="1" applyBorder="1" applyAlignment="1">
      <alignment horizontal="center" vertical="center" wrapText="1"/>
    </xf>
    <xf numFmtId="1" fontId="22" fillId="0" borderId="11" xfId="0" applyNumberFormat="1" applyFont="1" applyBorder="1" applyAlignment="1">
      <alignment horizontal="center" vertical="center" wrapText="1"/>
    </xf>
    <xf numFmtId="1" fontId="22" fillId="0" borderId="12" xfId="0" applyNumberFormat="1" applyFont="1" applyBorder="1" applyAlignment="1">
      <alignment horizontal="center" vertical="center" wrapText="1"/>
    </xf>
    <xf numFmtId="1" fontId="22" fillId="0" borderId="13" xfId="0" applyNumberFormat="1" applyFont="1" applyBorder="1" applyAlignment="1">
      <alignment horizontal="center" vertical="center" wrapText="1"/>
    </xf>
    <xf numFmtId="1" fontId="22" fillId="0" borderId="16" xfId="0" applyNumberFormat="1" applyFont="1" applyBorder="1" applyAlignment="1">
      <alignment horizontal="center" vertical="center" wrapText="1"/>
    </xf>
    <xf numFmtId="0" fontId="2" fillId="0" borderId="14" xfId="0" applyFont="1" applyBorder="1"/>
    <xf numFmtId="0" fontId="26" fillId="0" borderId="0" xfId="3" applyFont="1" applyBorder="1" applyAlignment="1">
      <alignment horizontal="center" vertical="center" wrapText="1"/>
    </xf>
    <xf numFmtId="1" fontId="22" fillId="0" borderId="9" xfId="0" applyNumberFormat="1" applyFont="1" applyBorder="1" applyAlignment="1">
      <alignment horizontal="center" vertical="center" wrapText="1"/>
    </xf>
    <xf numFmtId="1" fontId="22" fillId="0" borderId="0" xfId="0" applyNumberFormat="1" applyFont="1" applyBorder="1" applyAlignment="1">
      <alignment horizontal="center" vertical="center" wrapText="1"/>
    </xf>
    <xf numFmtId="1" fontId="22" fillId="0" borderId="9" xfId="0" applyNumberFormat="1" applyFont="1" applyBorder="1" applyAlignment="1">
      <alignment horizontal="center" vertical="center" wrapText="1"/>
    </xf>
    <xf numFmtId="0" fontId="2" fillId="0" borderId="10" xfId="0" applyFont="1" applyBorder="1"/>
    <xf numFmtId="0" fontId="2" fillId="0" borderId="0" xfId="0" applyFont="1" applyBorder="1"/>
    <xf numFmtId="165" fontId="22" fillId="0" borderId="18" xfId="1" applyNumberFormat="1" applyFont="1" applyBorder="1" applyAlignment="1" applyProtection="1"/>
    <xf numFmtId="165" fontId="22" fillId="0" borderId="19" xfId="1" applyNumberFormat="1" applyFont="1" applyBorder="1" applyAlignment="1" applyProtection="1"/>
    <xf numFmtId="165" fontId="22" fillId="0" borderId="20" xfId="1" applyNumberFormat="1" applyFont="1" applyBorder="1" applyAlignment="1" applyProtection="1"/>
    <xf numFmtId="165" fontId="22" fillId="0" borderId="21" xfId="1" applyNumberFormat="1" applyFont="1" applyBorder="1" applyAlignment="1" applyProtection="1"/>
    <xf numFmtId="165" fontId="22" fillId="0" borderId="22" xfId="1" applyNumberFormat="1" applyFont="1" applyBorder="1" applyAlignment="1" applyProtection="1"/>
    <xf numFmtId="165" fontId="22" fillId="9" borderId="22" xfId="1" applyNumberFormat="1" applyFont="1" applyFill="1" applyBorder="1" applyAlignment="1" applyProtection="1"/>
    <xf numFmtId="165" fontId="22" fillId="0" borderId="21" xfId="1" applyNumberFormat="1" applyFont="1" applyBorder="1" applyAlignment="1" applyProtection="1">
      <protection locked="0"/>
    </xf>
    <xf numFmtId="1" fontId="22" fillId="0" borderId="23" xfId="0" applyNumberFormat="1" applyFont="1" applyBorder="1" applyAlignment="1">
      <alignment horizontal="center" vertical="center" wrapText="1"/>
    </xf>
    <xf numFmtId="1" fontId="22" fillId="0" borderId="24" xfId="0" applyNumberFormat="1" applyFont="1" applyBorder="1" applyAlignment="1">
      <alignment horizontal="center" vertical="center" wrapText="1"/>
    </xf>
    <xf numFmtId="1" fontId="22" fillId="0" borderId="25" xfId="0" applyNumberFormat="1" applyFont="1" applyBorder="1" applyAlignment="1">
      <alignment horizontal="center" vertical="center" wrapText="1"/>
    </xf>
    <xf numFmtId="1" fontId="22" fillId="0" borderId="0" xfId="0" applyNumberFormat="1" applyFont="1" applyAlignment="1">
      <alignment horizontal="center" vertical="center" wrapText="1"/>
    </xf>
    <xf numFmtId="0" fontId="2" fillId="0" borderId="26" xfId="0" applyFont="1" applyBorder="1"/>
    <xf numFmtId="165" fontId="22" fillId="0" borderId="27" xfId="1" applyNumberFormat="1" applyFont="1" applyBorder="1" applyAlignment="1" applyProtection="1"/>
    <xf numFmtId="165" fontId="22" fillId="0" borderId="28" xfId="1" applyNumberFormat="1" applyFont="1" applyBorder="1" applyAlignment="1" applyProtection="1"/>
    <xf numFmtId="165" fontId="22" fillId="0" borderId="29" xfId="1" applyNumberFormat="1" applyFont="1" applyBorder="1" applyAlignment="1" applyProtection="1"/>
    <xf numFmtId="166" fontId="22" fillId="0" borderId="0" xfId="1" applyNumberFormat="1" applyFont="1" applyBorder="1" applyAlignment="1" applyProtection="1"/>
    <xf numFmtId="165" fontId="22" fillId="9" borderId="30" xfId="1" applyNumberFormat="1" applyFont="1" applyFill="1" applyBorder="1" applyAlignment="1" applyProtection="1"/>
    <xf numFmtId="165" fontId="22" fillId="0" borderId="0" xfId="1" applyNumberFormat="1" applyFont="1" applyBorder="1" applyAlignment="1" applyProtection="1">
      <protection locked="0"/>
    </xf>
    <xf numFmtId="0" fontId="2" fillId="0" borderId="31" xfId="0" applyFont="1" applyBorder="1" applyAlignment="1">
      <alignment horizontal="right" vertical="center"/>
    </xf>
    <xf numFmtId="0" fontId="2" fillId="0" borderId="32" xfId="0" applyFont="1" applyBorder="1" applyAlignment="1">
      <alignment vertical="center" wrapText="1"/>
    </xf>
    <xf numFmtId="165" fontId="2" fillId="0" borderId="31" xfId="1" applyNumberFormat="1" applyFont="1" applyBorder="1" applyAlignment="1" applyProtection="1">
      <alignment horizontal="right" vertical="center" wrapText="1"/>
      <protection locked="0"/>
    </xf>
    <xf numFmtId="165" fontId="2" fillId="0" borderId="33" xfId="1" applyNumberFormat="1" applyFont="1" applyBorder="1" applyAlignment="1" applyProtection="1">
      <alignment horizontal="right" vertical="center" wrapText="1"/>
      <protection locked="0"/>
    </xf>
    <xf numFmtId="165" fontId="2" fillId="10" borderId="34" xfId="1" applyNumberFormat="1" applyFont="1" applyFill="1" applyBorder="1" applyAlignment="1" applyProtection="1">
      <alignment horizontal="right" vertical="center" wrapText="1"/>
    </xf>
    <xf numFmtId="165" fontId="2" fillId="0" borderId="35" xfId="1" applyNumberFormat="1" applyFont="1" applyBorder="1" applyAlignment="1" applyProtection="1">
      <alignment horizontal="right" vertical="center" wrapText="1"/>
      <protection locked="0"/>
    </xf>
    <xf numFmtId="165" fontId="2" fillId="0" borderId="36" xfId="1" applyNumberFormat="1" applyFont="1" applyBorder="1" applyAlignment="1" applyProtection="1">
      <alignment horizontal="right" vertical="center" wrapText="1"/>
      <protection locked="0"/>
    </xf>
    <xf numFmtId="165" fontId="2" fillId="10" borderId="37" xfId="1" applyNumberFormat="1" applyFont="1" applyFill="1" applyBorder="1" applyAlignment="1" applyProtection="1">
      <alignment horizontal="right" vertical="center" wrapText="1"/>
    </xf>
    <xf numFmtId="165" fontId="22" fillId="0" borderId="0" xfId="1" applyNumberFormat="1" applyFont="1" applyBorder="1" applyAlignment="1" applyProtection="1"/>
    <xf numFmtId="165" fontId="2" fillId="0" borderId="38" xfId="1" applyNumberFormat="1" applyFont="1" applyBorder="1" applyAlignment="1" applyProtection="1">
      <alignment horizontal="right" vertical="center" wrapText="1"/>
      <protection locked="0"/>
    </xf>
    <xf numFmtId="165" fontId="2" fillId="9" borderId="36" xfId="1" applyNumberFormat="1" applyFont="1" applyFill="1" applyBorder="1" applyAlignment="1" applyProtection="1">
      <alignment horizontal="right" vertical="center" wrapText="1"/>
      <protection locked="0"/>
    </xf>
    <xf numFmtId="165" fontId="2" fillId="9" borderId="33" xfId="1" applyNumberFormat="1" applyFont="1" applyFill="1" applyBorder="1" applyAlignment="1" applyProtection="1">
      <alignment horizontal="right" vertical="center" wrapText="1"/>
      <protection locked="0"/>
    </xf>
    <xf numFmtId="165" fontId="2" fillId="0" borderId="0" xfId="1" applyNumberFormat="1" applyFont="1" applyBorder="1" applyAlignment="1" applyProtection="1">
      <alignment horizontal="right" vertical="center" wrapText="1"/>
      <protection locked="0"/>
    </xf>
    <xf numFmtId="0" fontId="2" fillId="0" borderId="0" xfId="0" applyFont="1" applyAlignment="1">
      <alignment vertical="center"/>
    </xf>
    <xf numFmtId="0" fontId="2" fillId="0" borderId="39" xfId="0" applyFont="1" applyBorder="1" applyAlignment="1">
      <alignment horizontal="right" vertical="center"/>
    </xf>
    <xf numFmtId="0" fontId="2" fillId="0" borderId="34" xfId="0" applyFont="1" applyBorder="1" applyAlignment="1">
      <alignment vertical="center" wrapText="1"/>
    </xf>
    <xf numFmtId="165" fontId="2" fillId="0" borderId="39" xfId="1" applyNumberFormat="1" applyFont="1" applyBorder="1" applyAlignment="1" applyProtection="1">
      <alignment horizontal="right" vertical="center" wrapText="1"/>
      <protection locked="0"/>
    </xf>
    <xf numFmtId="165" fontId="2" fillId="0" borderId="40" xfId="1" applyNumberFormat="1" applyFont="1" applyBorder="1" applyAlignment="1" applyProtection="1">
      <alignment horizontal="right" vertical="center" wrapText="1"/>
      <protection locked="0"/>
    </xf>
    <xf numFmtId="165" fontId="2" fillId="0" borderId="41" xfId="1" applyNumberFormat="1" applyFont="1" applyBorder="1" applyAlignment="1" applyProtection="1">
      <alignment horizontal="right" vertical="center" wrapText="1"/>
      <protection locked="0"/>
    </xf>
    <xf numFmtId="165" fontId="2" fillId="0" borderId="42" xfId="1" applyNumberFormat="1" applyFont="1" applyBorder="1" applyAlignment="1" applyProtection="1">
      <alignment horizontal="right" vertical="center" wrapText="1"/>
      <protection locked="0"/>
    </xf>
    <xf numFmtId="165" fontId="2" fillId="10" borderId="43" xfId="1" applyNumberFormat="1" applyFont="1" applyFill="1" applyBorder="1" applyAlignment="1" applyProtection="1">
      <alignment horizontal="right" vertical="center" wrapText="1"/>
    </xf>
    <xf numFmtId="165" fontId="2" fillId="0" borderId="44" xfId="1" applyNumberFormat="1" applyFont="1" applyBorder="1" applyAlignment="1" applyProtection="1">
      <alignment horizontal="right" vertical="center" wrapText="1"/>
      <protection locked="0"/>
    </xf>
    <xf numFmtId="165" fontId="2" fillId="9" borderId="42" xfId="1" applyNumberFormat="1" applyFont="1" applyFill="1" applyBorder="1" applyAlignment="1" applyProtection="1">
      <alignment horizontal="right" vertical="center" wrapText="1"/>
      <protection locked="0"/>
    </xf>
    <xf numFmtId="165" fontId="2" fillId="9" borderId="40" xfId="1" applyNumberFormat="1" applyFont="1" applyFill="1" applyBorder="1" applyAlignment="1" applyProtection="1">
      <alignment horizontal="right" vertical="center" wrapText="1"/>
      <protection locked="0"/>
    </xf>
    <xf numFmtId="165" fontId="2" fillId="0" borderId="0" xfId="1" applyNumberFormat="1" applyFont="1" applyBorder="1" applyAlignment="1" applyProtection="1">
      <alignment horizontal="right" vertical="center" wrapText="1"/>
    </xf>
    <xf numFmtId="0" fontId="2" fillId="0" borderId="45" xfId="0" applyFont="1" applyBorder="1" applyAlignment="1">
      <alignment horizontal="right" vertical="center"/>
    </xf>
    <xf numFmtId="0" fontId="2" fillId="0" borderId="46" xfId="0" applyFont="1" applyBorder="1" applyAlignment="1">
      <alignment vertical="center" wrapText="1"/>
    </xf>
    <xf numFmtId="165" fontId="2" fillId="0" borderId="45" xfId="1" applyNumberFormat="1" applyFont="1" applyBorder="1" applyAlignment="1" applyProtection="1">
      <alignment horizontal="right" vertical="center" wrapText="1"/>
      <protection locked="0"/>
    </xf>
    <xf numFmtId="165" fontId="2" fillId="0" borderId="47" xfId="1" applyNumberFormat="1" applyFont="1" applyBorder="1" applyAlignment="1" applyProtection="1">
      <alignment horizontal="right" vertical="center" wrapText="1"/>
      <protection locked="0"/>
    </xf>
    <xf numFmtId="165" fontId="2" fillId="10" borderId="46" xfId="1" applyNumberFormat="1" applyFont="1" applyFill="1" applyBorder="1" applyAlignment="1" applyProtection="1">
      <alignment horizontal="right" vertical="center" wrapText="1"/>
    </xf>
    <xf numFmtId="165" fontId="2" fillId="0" borderId="48" xfId="1" applyNumberFormat="1" applyFont="1" applyBorder="1" applyAlignment="1" applyProtection="1">
      <alignment horizontal="right" vertical="center" wrapText="1"/>
      <protection locked="0"/>
    </xf>
    <xf numFmtId="165" fontId="2" fillId="0" borderId="49" xfId="1" applyNumberFormat="1" applyFont="1" applyBorder="1" applyAlignment="1" applyProtection="1">
      <alignment horizontal="right" vertical="center" wrapText="1"/>
      <protection locked="0"/>
    </xf>
    <xf numFmtId="165" fontId="2" fillId="10" borderId="50" xfId="1" applyNumberFormat="1" applyFont="1" applyFill="1" applyBorder="1" applyAlignment="1" applyProtection="1">
      <alignment horizontal="right" vertical="center" wrapText="1"/>
    </xf>
    <xf numFmtId="165" fontId="2" fillId="0" borderId="15" xfId="1" applyNumberFormat="1" applyFont="1" applyBorder="1" applyAlignment="1" applyProtection="1">
      <alignment horizontal="right" vertical="center" wrapText="1"/>
    </xf>
    <xf numFmtId="165" fontId="2" fillId="0" borderId="51" xfId="1" applyNumberFormat="1" applyFont="1" applyBorder="1" applyAlignment="1" applyProtection="1">
      <alignment horizontal="right" vertical="center" wrapText="1"/>
      <protection locked="0"/>
    </xf>
    <xf numFmtId="165" fontId="2" fillId="9" borderId="49" xfId="1" applyNumberFormat="1" applyFont="1" applyFill="1" applyBorder="1" applyAlignment="1" applyProtection="1">
      <alignment horizontal="right" vertical="center" wrapText="1"/>
      <protection locked="0"/>
    </xf>
    <xf numFmtId="165" fontId="2" fillId="9" borderId="47" xfId="1" applyNumberFormat="1" applyFont="1" applyFill="1" applyBorder="1" applyAlignment="1" applyProtection="1">
      <alignment horizontal="right" vertical="center" wrapText="1"/>
      <protection locked="0"/>
    </xf>
    <xf numFmtId="0" fontId="2" fillId="0" borderId="0" xfId="0" applyFont="1"/>
    <xf numFmtId="0" fontId="2" fillId="0" borderId="0" xfId="0" applyFont="1" applyAlignment="1">
      <alignment wrapText="1"/>
    </xf>
    <xf numFmtId="0" fontId="22" fillId="0" borderId="0" xfId="0" applyFont="1" applyBorder="1" applyAlignment="1" applyProtection="1">
      <alignment horizontal="center" vertical="center"/>
      <protection locked="0"/>
    </xf>
    <xf numFmtId="164" fontId="22" fillId="0" borderId="52" xfId="1" applyFont="1" applyBorder="1" applyAlignment="1" applyProtection="1">
      <alignment horizontal="center" vertical="center"/>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vertical="center" wrapText="1"/>
      <protection locked="0"/>
    </xf>
    <xf numFmtId="0" fontId="2" fillId="0" borderId="0" xfId="0" applyFont="1" applyProtection="1">
      <protection locked="0"/>
    </xf>
    <xf numFmtId="3" fontId="2" fillId="10" borderId="52" xfId="0" applyNumberFormat="1" applyFont="1" applyFill="1" applyBorder="1" applyAlignment="1" applyProtection="1">
      <alignment vertical="center"/>
      <protection locked="0"/>
    </xf>
    <xf numFmtId="0" fontId="2" fillId="0" borderId="53" xfId="0" applyFont="1" applyBorder="1" applyAlignment="1" applyProtection="1">
      <alignment vertical="center"/>
      <protection locked="0"/>
    </xf>
    <xf numFmtId="3" fontId="2" fillId="0" borderId="0" xfId="0" applyNumberFormat="1" applyFont="1" applyBorder="1" applyAlignment="1" applyProtection="1">
      <alignment vertical="center"/>
      <protection locked="0"/>
    </xf>
    <xf numFmtId="0" fontId="2" fillId="0" borderId="0" xfId="0" applyFont="1" applyBorder="1" applyProtection="1">
      <protection locked="0"/>
    </xf>
    <xf numFmtId="0" fontId="2" fillId="0" borderId="54" xfId="0" applyFont="1" applyBorder="1" applyAlignment="1" applyProtection="1">
      <alignment vertical="center"/>
      <protection locked="0"/>
    </xf>
    <xf numFmtId="0" fontId="2" fillId="0" borderId="55" xfId="0" applyFont="1" applyBorder="1" applyAlignment="1" applyProtection="1">
      <alignment vertical="center"/>
      <protection locked="0"/>
    </xf>
    <xf numFmtId="164" fontId="22" fillId="10" borderId="52" xfId="1" applyFont="1" applyFill="1" applyBorder="1" applyAlignment="1" applyProtection="1">
      <alignment vertical="center"/>
      <protection locked="0"/>
    </xf>
    <xf numFmtId="166" fontId="22" fillId="0" borderId="52" xfId="1" applyNumberFormat="1" applyFont="1" applyBorder="1" applyAlignment="1" applyProtection="1">
      <protection locked="0"/>
    </xf>
    <xf numFmtId="0" fontId="22" fillId="0" borderId="0" xfId="0" applyFont="1" applyAlignment="1" applyProtection="1">
      <alignment horizontal="right" vertical="center" wrapText="1"/>
      <protection locked="0"/>
    </xf>
    <xf numFmtId="164" fontId="22" fillId="0" borderId="0" xfId="1" applyFont="1" applyBorder="1" applyAlignment="1" applyProtection="1">
      <alignment vertical="center"/>
      <protection locked="0"/>
    </xf>
    <xf numFmtId="0" fontId="2" fillId="0" borderId="0" xfId="0" applyFont="1" applyAlignment="1" applyProtection="1">
      <alignment horizontal="center" vertical="center" wrapText="1"/>
      <protection locked="0"/>
    </xf>
    <xf numFmtId="166" fontId="22" fillId="13" borderId="52" xfId="1" applyNumberFormat="1" applyFont="1" applyFill="1" applyBorder="1" applyAlignment="1" applyProtection="1">
      <alignment vertical="center"/>
    </xf>
    <xf numFmtId="0" fontId="2" fillId="0" borderId="0" xfId="0" applyFont="1" applyAlignment="1" applyProtection="1">
      <alignment wrapText="1"/>
      <protection locked="0"/>
    </xf>
    <xf numFmtId="0" fontId="2" fillId="0" borderId="0" xfId="0" applyFont="1" applyAlignment="1" applyProtection="1">
      <alignment vertical="center"/>
      <protection locked="0"/>
    </xf>
    <xf numFmtId="167" fontId="2" fillId="15" borderId="52" xfId="1" applyNumberFormat="1" applyFont="1" applyFill="1" applyBorder="1" applyAlignment="1" applyProtection="1">
      <alignment vertical="center"/>
      <protection locked="0"/>
    </xf>
    <xf numFmtId="167" fontId="2" fillId="16" borderId="52" xfId="1" applyNumberFormat="1" applyFont="1" applyFill="1" applyBorder="1" applyAlignment="1" applyProtection="1">
      <alignment vertical="center"/>
      <protection locked="0"/>
    </xf>
    <xf numFmtId="0" fontId="2" fillId="0" borderId="0" xfId="0" applyFont="1" applyProtection="1">
      <protection locked="0"/>
    </xf>
    <xf numFmtId="166" fontId="22" fillId="0" borderId="10" xfId="1" applyNumberFormat="1" applyFont="1" applyBorder="1" applyAlignment="1" applyProtection="1">
      <alignment vertical="center"/>
      <protection locked="0"/>
    </xf>
    <xf numFmtId="0" fontId="2" fillId="0" borderId="0" xfId="0" applyFont="1" applyBorder="1" applyProtection="1"/>
    <xf numFmtId="0" fontId="23" fillId="0" borderId="0" xfId="0" applyFont="1" applyBorder="1" applyAlignment="1" applyProtection="1">
      <alignment vertical="center"/>
    </xf>
    <xf numFmtId="0" fontId="25" fillId="0" borderId="0" xfId="0" applyFont="1" applyBorder="1" applyAlignment="1" applyProtection="1"/>
    <xf numFmtId="1" fontId="22" fillId="0" borderId="0" xfId="0" applyNumberFormat="1" applyFont="1" applyBorder="1" applyAlignment="1" applyProtection="1">
      <alignment horizontal="center" vertical="center" wrapText="1"/>
    </xf>
    <xf numFmtId="1" fontId="22" fillId="0" borderId="56" xfId="0" applyNumberFormat="1" applyFont="1" applyBorder="1" applyAlignment="1">
      <alignment horizontal="center" vertical="center" wrapText="1"/>
    </xf>
    <xf numFmtId="165" fontId="22" fillId="0" borderId="17" xfId="1" applyNumberFormat="1" applyFont="1" applyBorder="1" applyAlignment="1" applyProtection="1"/>
    <xf numFmtId="165" fontId="22" fillId="0" borderId="57" xfId="1" applyNumberFormat="1" applyFont="1" applyBorder="1" applyAlignment="1" applyProtection="1"/>
    <xf numFmtId="165" fontId="22" fillId="0" borderId="58" xfId="1" applyNumberFormat="1" applyFont="1" applyBorder="1" applyAlignment="1" applyProtection="1"/>
    <xf numFmtId="165" fontId="22" fillId="0" borderId="59" xfId="1" applyNumberFormat="1" applyFont="1" applyBorder="1" applyAlignment="1" applyProtection="1"/>
    <xf numFmtId="165" fontId="22" fillId="0" borderId="60" xfId="1" applyNumberFormat="1" applyFont="1" applyBorder="1" applyAlignment="1" applyProtection="1"/>
    <xf numFmtId="165" fontId="22" fillId="9" borderId="60" xfId="1" applyNumberFormat="1" applyFont="1" applyFill="1" applyBorder="1" applyAlignment="1" applyProtection="1"/>
    <xf numFmtId="0" fontId="2" fillId="0" borderId="31" xfId="0" applyFont="1" applyBorder="1" applyAlignment="1">
      <alignment horizontal="right" vertical="center"/>
    </xf>
    <xf numFmtId="0" fontId="2" fillId="0" borderId="32" xfId="0" applyFont="1" applyBorder="1" applyAlignment="1">
      <alignment vertical="center"/>
    </xf>
    <xf numFmtId="165" fontId="2" fillId="5" borderId="61" xfId="1" applyNumberFormat="1" applyFont="1" applyFill="1" applyBorder="1" applyAlignment="1" applyProtection="1">
      <alignment horizontal="right" vertical="center" wrapText="1"/>
      <protection locked="0"/>
    </xf>
    <xf numFmtId="165" fontId="2" fillId="5" borderId="62" xfId="1" applyNumberFormat="1" applyFont="1" applyFill="1" applyBorder="1" applyAlignment="1" applyProtection="1">
      <alignment horizontal="right" vertical="center" wrapText="1"/>
      <protection locked="0"/>
    </xf>
    <xf numFmtId="165" fontId="2" fillId="10" borderId="63" xfId="1" applyNumberFormat="1" applyFont="1" applyFill="1" applyBorder="1" applyAlignment="1" applyProtection="1">
      <alignment horizontal="right" vertical="center" wrapText="1"/>
    </xf>
    <xf numFmtId="165" fontId="2" fillId="5" borderId="35" xfId="1" applyNumberFormat="1" applyFont="1" applyFill="1" applyBorder="1" applyAlignment="1" applyProtection="1">
      <alignment horizontal="right" vertical="center" wrapText="1"/>
      <protection locked="0"/>
    </xf>
    <xf numFmtId="165" fontId="2" fillId="5" borderId="36" xfId="1" applyNumberFormat="1" applyFont="1" applyFill="1" applyBorder="1" applyAlignment="1" applyProtection="1">
      <alignment horizontal="right" vertical="center" wrapText="1"/>
      <protection locked="0"/>
    </xf>
    <xf numFmtId="165" fontId="2" fillId="5" borderId="33" xfId="1" applyNumberFormat="1" applyFont="1" applyFill="1" applyBorder="1" applyAlignment="1" applyProtection="1">
      <alignment horizontal="right" vertical="center" wrapText="1"/>
      <protection locked="0"/>
    </xf>
    <xf numFmtId="165" fontId="22" fillId="5" borderId="0" xfId="1" applyNumberFormat="1" applyFont="1" applyFill="1" applyBorder="1" applyAlignment="1" applyProtection="1"/>
    <xf numFmtId="165" fontId="2" fillId="9" borderId="62" xfId="1" applyNumberFormat="1" applyFont="1" applyFill="1" applyBorder="1" applyAlignment="1" applyProtection="1">
      <alignment horizontal="right" vertical="center" wrapText="1"/>
      <protection locked="0"/>
    </xf>
    <xf numFmtId="165" fontId="29" fillId="0" borderId="0" xfId="1" applyNumberFormat="1" applyFont="1" applyBorder="1" applyAlignment="1" applyProtection="1">
      <alignment horizontal="right" vertical="center" wrapText="1"/>
    </xf>
    <xf numFmtId="0" fontId="2" fillId="0" borderId="39" xfId="0" applyFont="1" applyBorder="1" applyAlignment="1">
      <alignment horizontal="right" vertical="center"/>
    </xf>
    <xf numFmtId="0" fontId="2" fillId="0" borderId="34" xfId="0" applyFont="1" applyBorder="1" applyAlignment="1">
      <alignment vertical="center"/>
    </xf>
    <xf numFmtId="165" fontId="2" fillId="5" borderId="41" xfId="1" applyNumberFormat="1" applyFont="1" applyFill="1" applyBorder="1" applyAlignment="1" applyProtection="1">
      <alignment horizontal="right" vertical="center" wrapText="1"/>
      <protection locked="0"/>
    </xf>
    <xf numFmtId="165" fontId="2" fillId="5" borderId="42" xfId="1" applyNumberFormat="1" applyFont="1" applyFill="1" applyBorder="1" applyAlignment="1" applyProtection="1">
      <alignment horizontal="right" vertical="center" wrapText="1"/>
      <protection locked="0"/>
    </xf>
    <xf numFmtId="165" fontId="2" fillId="5" borderId="40" xfId="1" applyNumberFormat="1" applyFont="1" applyFill="1" applyBorder="1" applyAlignment="1" applyProtection="1">
      <alignment horizontal="right" vertical="center" wrapText="1"/>
      <protection locked="0"/>
    </xf>
    <xf numFmtId="165" fontId="2" fillId="5" borderId="0" xfId="1" applyNumberFormat="1" applyFont="1" applyFill="1" applyBorder="1" applyAlignment="1" applyProtection="1">
      <alignment horizontal="right" vertical="center" wrapText="1"/>
    </xf>
    <xf numFmtId="165" fontId="2" fillId="17" borderId="42" xfId="1" applyNumberFormat="1" applyFont="1" applyFill="1" applyBorder="1" applyAlignment="1" applyProtection="1">
      <alignment horizontal="right" vertical="center" wrapText="1"/>
      <protection locked="0"/>
    </xf>
    <xf numFmtId="0" fontId="2" fillId="0" borderId="34" xfId="0" applyFont="1" applyBorder="1" applyAlignment="1">
      <alignment vertical="center"/>
    </xf>
    <xf numFmtId="0" fontId="2" fillId="0" borderId="46" xfId="0" applyFont="1" applyBorder="1" applyAlignment="1">
      <alignment vertical="center"/>
    </xf>
    <xf numFmtId="165" fontId="2" fillId="5" borderId="49" xfId="1" applyNumberFormat="1" applyFont="1" applyFill="1" applyBorder="1" applyAlignment="1" applyProtection="1">
      <alignment horizontal="right" vertical="center" wrapText="1"/>
      <protection locked="0"/>
    </xf>
    <xf numFmtId="165" fontId="2" fillId="5" borderId="47" xfId="1" applyNumberFormat="1" applyFont="1" applyFill="1" applyBorder="1" applyAlignment="1" applyProtection="1">
      <alignment horizontal="right" vertical="center" wrapText="1"/>
      <protection locked="0"/>
    </xf>
    <xf numFmtId="165" fontId="2" fillId="5" borderId="48" xfId="1" applyNumberFormat="1" applyFont="1" applyFill="1" applyBorder="1" applyAlignment="1" applyProtection="1">
      <alignment horizontal="right" vertical="center" wrapText="1"/>
      <protection locked="0"/>
    </xf>
    <xf numFmtId="165" fontId="2" fillId="5" borderId="64" xfId="1" applyNumberFormat="1" applyFont="1" applyFill="1" applyBorder="1" applyAlignment="1" applyProtection="1">
      <alignment horizontal="right" vertical="center" wrapText="1"/>
    </xf>
    <xf numFmtId="165" fontId="2" fillId="17" borderId="49" xfId="1" applyNumberFormat="1" applyFont="1" applyFill="1" applyBorder="1" applyAlignment="1" applyProtection="1">
      <alignment horizontal="right" vertical="center" wrapText="1"/>
      <protection locked="0"/>
    </xf>
    <xf numFmtId="0" fontId="2" fillId="5" borderId="0" xfId="0" applyFont="1" applyFill="1"/>
    <xf numFmtId="0" fontId="2" fillId="5" borderId="0" xfId="0" applyFont="1" applyFill="1" applyAlignment="1">
      <alignment wrapText="1"/>
    </xf>
    <xf numFmtId="0" fontId="30" fillId="0" borderId="0" xfId="0" applyFont="1" applyBorder="1" applyAlignment="1">
      <alignment horizontal="center" vertical="center" wrapText="1"/>
    </xf>
    <xf numFmtId="1" fontId="22" fillId="0" borderId="8" xfId="0" applyNumberFormat="1" applyFont="1" applyBorder="1" applyAlignment="1">
      <alignment horizontal="center" vertical="center" wrapText="1"/>
    </xf>
    <xf numFmtId="0" fontId="26" fillId="0" borderId="66" xfId="0" applyFont="1" applyBorder="1" applyAlignment="1">
      <alignment horizontal="center" vertical="center" wrapText="1"/>
    </xf>
    <xf numFmtId="0" fontId="26" fillId="0" borderId="67" xfId="0" applyFont="1" applyBorder="1" applyAlignment="1">
      <alignment horizontal="center" vertical="center" wrapText="1"/>
    </xf>
    <xf numFmtId="0" fontId="27" fillId="12" borderId="14" xfId="0" applyFont="1" applyFill="1" applyBorder="1" applyAlignment="1">
      <alignment vertical="center"/>
    </xf>
    <xf numFmtId="0" fontId="2" fillId="0" borderId="68" xfId="0" applyFont="1" applyBorder="1" applyAlignment="1">
      <alignment vertical="center"/>
    </xf>
    <xf numFmtId="166" fontId="2" fillId="0" borderId="69" xfId="1" applyNumberFormat="1" applyFont="1" applyBorder="1" applyAlignment="1" applyProtection="1">
      <alignment vertical="center"/>
    </xf>
    <xf numFmtId="0" fontId="2" fillId="0" borderId="70" xfId="0" applyFont="1" applyBorder="1" applyAlignment="1">
      <alignment horizontal="left" vertical="center" indent="1"/>
    </xf>
    <xf numFmtId="166" fontId="2" fillId="10" borderId="71" xfId="0" applyNumberFormat="1" applyFont="1" applyFill="1" applyBorder="1" applyAlignment="1">
      <alignment horizontal="right" vertical="center"/>
    </xf>
    <xf numFmtId="166" fontId="2" fillId="10" borderId="72" xfId="0" applyNumberFormat="1" applyFont="1" applyFill="1" applyBorder="1" applyAlignment="1">
      <alignment horizontal="right" vertical="center"/>
    </xf>
    <xf numFmtId="166" fontId="2" fillId="10" borderId="73" xfId="1" applyNumberFormat="1" applyFont="1" applyFill="1" applyBorder="1" applyAlignment="1" applyProtection="1">
      <alignment horizontal="right" vertical="center"/>
    </xf>
    <xf numFmtId="0" fontId="29" fillId="0" borderId="0" xfId="0" applyFont="1"/>
    <xf numFmtId="0" fontId="27" fillId="0" borderId="41" xfId="0" applyFont="1" applyBorder="1" applyAlignment="1">
      <alignment horizontal="left" vertical="center" indent="1"/>
    </xf>
    <xf numFmtId="166" fontId="2" fillId="10" borderId="39" xfId="0" applyNumberFormat="1" applyFont="1" applyFill="1" applyBorder="1" applyAlignment="1">
      <alignment horizontal="right" vertical="center"/>
    </xf>
    <xf numFmtId="166" fontId="2" fillId="10" borderId="74" xfId="0" applyNumberFormat="1" applyFont="1" applyFill="1" applyBorder="1" applyAlignment="1">
      <alignment horizontal="right" vertical="center"/>
    </xf>
    <xf numFmtId="166" fontId="2" fillId="10" borderId="34" xfId="1" applyNumberFormat="1" applyFont="1" applyFill="1" applyBorder="1" applyAlignment="1" applyProtection="1">
      <alignment horizontal="right" vertical="center"/>
    </xf>
    <xf numFmtId="0" fontId="29" fillId="0" borderId="0" xfId="0" applyFont="1" applyProtection="1">
      <protection hidden="1"/>
    </xf>
    <xf numFmtId="0" fontId="2" fillId="0" borderId="41" xfId="0" applyFont="1" applyBorder="1" applyAlignment="1">
      <alignment horizontal="left" vertical="center" indent="1"/>
    </xf>
    <xf numFmtId="0" fontId="2" fillId="0" borderId="48" xfId="0" applyFont="1" applyBorder="1" applyAlignment="1">
      <alignment horizontal="left" vertical="center" indent="1"/>
    </xf>
    <xf numFmtId="166" fontId="2" fillId="10" borderId="45" xfId="0" applyNumberFormat="1" applyFont="1" applyFill="1" applyBorder="1" applyAlignment="1">
      <alignment horizontal="right" vertical="center"/>
    </xf>
    <xf numFmtId="166" fontId="2" fillId="10" borderId="75" xfId="0" applyNumberFormat="1" applyFont="1" applyFill="1" applyBorder="1" applyAlignment="1">
      <alignment horizontal="right" vertical="center"/>
    </xf>
    <xf numFmtId="166" fontId="2" fillId="10" borderId="46" xfId="1" applyNumberFormat="1" applyFont="1" applyFill="1" applyBorder="1" applyAlignment="1" applyProtection="1">
      <alignment horizontal="right" vertical="center"/>
    </xf>
    <xf numFmtId="0" fontId="22" fillId="0" borderId="76" xfId="0" applyFont="1" applyBorder="1" applyAlignment="1">
      <alignment vertical="center"/>
    </xf>
    <xf numFmtId="166" fontId="22" fillId="10" borderId="64" xfId="1" applyNumberFormat="1" applyFont="1" applyFill="1" applyBorder="1" applyAlignment="1" applyProtection="1">
      <alignment horizontal="right" vertical="center"/>
    </xf>
    <xf numFmtId="166" fontId="22" fillId="10" borderId="77" xfId="1" applyNumberFormat="1" applyFont="1" applyFill="1" applyBorder="1" applyAlignment="1" applyProtection="1">
      <alignment horizontal="right" vertical="center"/>
    </xf>
    <xf numFmtId="166" fontId="22" fillId="10" borderId="78" xfId="1" applyNumberFormat="1" applyFont="1" applyFill="1" applyBorder="1" applyAlignment="1" applyProtection="1">
      <alignment horizontal="right" vertical="center"/>
    </xf>
    <xf numFmtId="0" fontId="27" fillId="15" borderId="16" xfId="0" applyFont="1" applyFill="1" applyBorder="1" applyAlignment="1">
      <alignment vertical="center"/>
    </xf>
    <xf numFmtId="166" fontId="2" fillId="0" borderId="24" xfId="0" applyNumberFormat="1" applyFont="1" applyBorder="1" applyAlignment="1">
      <alignment vertical="center"/>
    </xf>
    <xf numFmtId="166" fontId="2" fillId="0" borderId="68" xfId="0" applyNumberFormat="1" applyFont="1" applyBorder="1" applyAlignment="1">
      <alignment vertical="center"/>
    </xf>
    <xf numFmtId="166" fontId="2" fillId="0" borderId="10" xfId="1" applyNumberFormat="1" applyFont="1" applyBorder="1" applyAlignment="1" applyProtection="1">
      <alignment vertical="center"/>
    </xf>
    <xf numFmtId="0" fontId="2" fillId="0" borderId="76" xfId="0" applyFont="1" applyBorder="1" applyAlignment="1">
      <alignment horizontal="left" vertical="center" indent="1"/>
    </xf>
    <xf numFmtId="166" fontId="2" fillId="10" borderId="64" xfId="0" applyNumberFormat="1" applyFont="1" applyFill="1" applyBorder="1" applyAlignment="1">
      <alignment horizontal="right" vertical="center"/>
    </xf>
    <xf numFmtId="166" fontId="2" fillId="10" borderId="79" xfId="0" applyNumberFormat="1" applyFont="1" applyFill="1" applyBorder="1" applyAlignment="1">
      <alignment horizontal="right" vertical="center"/>
    </xf>
    <xf numFmtId="166" fontId="2" fillId="10" borderId="78" xfId="1" applyNumberFormat="1" applyFont="1" applyFill="1" applyBorder="1" applyAlignment="1" applyProtection="1">
      <alignment horizontal="right" vertical="center"/>
    </xf>
    <xf numFmtId="0" fontId="22" fillId="0" borderId="80" xfId="0" applyFont="1" applyBorder="1" applyAlignment="1">
      <alignment vertical="center"/>
    </xf>
    <xf numFmtId="166" fontId="22" fillId="10" borderId="81" xfId="0" applyNumberFormat="1" applyFont="1" applyFill="1" applyBorder="1" applyAlignment="1">
      <alignment horizontal="right" vertical="center"/>
    </xf>
    <xf numFmtId="166" fontId="22" fillId="10" borderId="82" xfId="0" applyNumberFormat="1" applyFont="1" applyFill="1" applyBorder="1" applyAlignment="1">
      <alignment horizontal="right" vertical="center"/>
    </xf>
    <xf numFmtId="166" fontId="22" fillId="10" borderId="83" xfId="0" applyNumberFormat="1" applyFont="1" applyFill="1" applyBorder="1" applyAlignment="1">
      <alignment horizontal="right" vertical="center"/>
    </xf>
    <xf numFmtId="0" fontId="22" fillId="0" borderId="21" xfId="0" applyFont="1" applyBorder="1" applyAlignment="1">
      <alignment vertical="center"/>
    </xf>
    <xf numFmtId="166" fontId="22" fillId="10" borderId="17" xfId="0" applyNumberFormat="1" applyFont="1" applyFill="1" applyBorder="1" applyAlignment="1">
      <alignment horizontal="right" vertical="center"/>
    </xf>
    <xf numFmtId="166" fontId="22" fillId="10" borderId="84" xfId="0" applyNumberFormat="1" applyFont="1" applyFill="1" applyBorder="1" applyAlignment="1">
      <alignment horizontal="right" vertical="center"/>
    </xf>
    <xf numFmtId="166" fontId="22" fillId="10" borderId="85" xfId="0" applyNumberFormat="1" applyFont="1" applyFill="1" applyBorder="1" applyAlignment="1">
      <alignment horizontal="right" vertical="center"/>
    </xf>
    <xf numFmtId="0" fontId="24" fillId="0" borderId="3" xfId="0" applyFont="1" applyBorder="1" applyAlignment="1">
      <alignment vertical="center"/>
    </xf>
    <xf numFmtId="0" fontId="25" fillId="0" borderId="86" xfId="0" applyFont="1" applyBorder="1" applyAlignment="1"/>
    <xf numFmtId="0" fontId="25" fillId="0" borderId="10" xfId="0" applyFont="1" applyBorder="1" applyAlignment="1"/>
    <xf numFmtId="1" fontId="26" fillId="0" borderId="11" xfId="0" applyNumberFormat="1" applyFont="1" applyBorder="1" applyAlignment="1">
      <alignment horizontal="center" vertical="center" wrapText="1"/>
    </xf>
    <xf numFmtId="1" fontId="22" fillId="8" borderId="11" xfId="0" applyNumberFormat="1" applyFont="1" applyFill="1" applyBorder="1" applyAlignment="1">
      <alignment horizontal="center" vertical="center" wrapText="1"/>
    </xf>
    <xf numFmtId="165" fontId="22" fillId="5" borderId="21" xfId="1" applyNumberFormat="1" applyFont="1" applyFill="1" applyBorder="1" applyAlignment="1" applyProtection="1">
      <protection locked="0"/>
    </xf>
    <xf numFmtId="1" fontId="22" fillId="0" borderId="3" xfId="0" applyNumberFormat="1" applyFont="1" applyBorder="1" applyAlignment="1">
      <alignment horizontal="center" vertical="center" wrapText="1"/>
    </xf>
    <xf numFmtId="0" fontId="2" fillId="0" borderId="26" xfId="0" applyFont="1" applyBorder="1"/>
    <xf numFmtId="165" fontId="2" fillId="10" borderId="36" xfId="1" applyNumberFormat="1" applyFont="1" applyFill="1" applyBorder="1" applyAlignment="1" applyProtection="1">
      <alignment horizontal="right" vertical="center" wrapText="1"/>
    </xf>
    <xf numFmtId="165" fontId="2" fillId="10" borderId="33" xfId="1" applyNumberFormat="1" applyFont="1" applyFill="1" applyBorder="1" applyAlignment="1" applyProtection="1">
      <alignment horizontal="right" vertical="center" wrapText="1"/>
    </xf>
    <xf numFmtId="165" fontId="2" fillId="0" borderId="37" xfId="1" applyNumberFormat="1" applyFont="1" applyBorder="1" applyAlignment="1" applyProtection="1">
      <alignment horizontal="right" vertical="center" wrapText="1"/>
      <protection locked="0"/>
    </xf>
    <xf numFmtId="165" fontId="2" fillId="10" borderId="42" xfId="1" applyNumberFormat="1" applyFont="1" applyFill="1" applyBorder="1" applyAlignment="1" applyProtection="1">
      <alignment horizontal="right" vertical="center" wrapText="1"/>
    </xf>
    <xf numFmtId="165" fontId="2" fillId="10" borderId="40" xfId="1" applyNumberFormat="1" applyFont="1" applyFill="1" applyBorder="1" applyAlignment="1" applyProtection="1">
      <alignment horizontal="right" vertical="center" wrapText="1"/>
    </xf>
    <xf numFmtId="165" fontId="2" fillId="0" borderId="43" xfId="1" applyNumberFormat="1" applyFont="1" applyBorder="1" applyAlignment="1" applyProtection="1">
      <alignment horizontal="right" vertical="center" wrapText="1"/>
      <protection locked="0"/>
    </xf>
    <xf numFmtId="165" fontId="2" fillId="10" borderId="49" xfId="1" applyNumberFormat="1" applyFont="1" applyFill="1" applyBorder="1" applyAlignment="1" applyProtection="1">
      <alignment horizontal="right" vertical="center" wrapText="1"/>
    </xf>
    <xf numFmtId="165" fontId="2" fillId="10" borderId="47" xfId="1" applyNumberFormat="1" applyFont="1" applyFill="1" applyBorder="1" applyAlignment="1" applyProtection="1">
      <alignment horizontal="right" vertical="center" wrapText="1"/>
    </xf>
    <xf numFmtId="165" fontId="2" fillId="0" borderId="50" xfId="1" applyNumberFormat="1" applyFont="1" applyBorder="1" applyAlignment="1" applyProtection="1">
      <alignment horizontal="right" vertical="center" wrapText="1"/>
      <protection locked="0"/>
    </xf>
    <xf numFmtId="165" fontId="2" fillId="0" borderId="76" xfId="1" applyNumberFormat="1" applyFont="1" applyBorder="1" applyAlignment="1" applyProtection="1">
      <alignment horizontal="right" vertical="center" wrapText="1"/>
    </xf>
    <xf numFmtId="0" fontId="22" fillId="11" borderId="0" xfId="0" applyFont="1" applyFill="1" applyBorder="1" applyAlignment="1" applyProtection="1">
      <alignment vertical="center"/>
      <protection locked="0"/>
    </xf>
    <xf numFmtId="0" fontId="28" fillId="14" borderId="0" xfId="0" applyFont="1" applyFill="1" applyBorder="1" applyAlignment="1" applyProtection="1">
      <alignment vertical="center"/>
      <protection locked="0"/>
    </xf>
    <xf numFmtId="1" fontId="22" fillId="8" borderId="87" xfId="0" applyNumberFormat="1" applyFont="1" applyFill="1" applyBorder="1" applyAlignment="1">
      <alignment horizontal="center" vertical="center" wrapText="1"/>
    </xf>
    <xf numFmtId="1" fontId="27" fillId="0" borderId="56" xfId="0" applyNumberFormat="1" applyFont="1" applyBorder="1" applyAlignment="1">
      <alignment horizontal="center" vertical="center" wrapText="1"/>
    </xf>
    <xf numFmtId="1" fontId="27" fillId="0" borderId="88" xfId="0" applyNumberFormat="1" applyFont="1" applyBorder="1" applyAlignment="1">
      <alignment horizontal="center" vertical="center" wrapText="1"/>
    </xf>
    <xf numFmtId="1" fontId="22" fillId="0" borderId="89" xfId="0" applyNumberFormat="1" applyFont="1" applyBorder="1" applyAlignment="1">
      <alignment horizontal="center" vertical="center" wrapText="1"/>
    </xf>
    <xf numFmtId="1" fontId="22" fillId="0" borderId="70" xfId="0" applyNumberFormat="1" applyFont="1" applyBorder="1" applyAlignment="1">
      <alignment horizontal="center" vertical="center" wrapText="1"/>
    </xf>
    <xf numFmtId="165" fontId="2" fillId="5" borderId="37" xfId="1" applyNumberFormat="1" applyFont="1" applyFill="1" applyBorder="1" applyAlignment="1" applyProtection="1">
      <alignment horizontal="right" vertical="center" wrapText="1"/>
      <protection locked="0"/>
    </xf>
    <xf numFmtId="165" fontId="2" fillId="0" borderId="90" xfId="1" applyNumberFormat="1" applyFont="1" applyBorder="1" applyAlignment="1" applyProtection="1">
      <alignment horizontal="right" vertical="center" wrapText="1"/>
      <protection locked="0"/>
    </xf>
    <xf numFmtId="0" fontId="29" fillId="0" borderId="0" xfId="0" applyFont="1" applyAlignment="1">
      <alignment vertical="center"/>
    </xf>
    <xf numFmtId="165" fontId="2" fillId="0" borderId="64" xfId="1" applyNumberFormat="1" applyFont="1" applyBorder="1" applyAlignment="1" applyProtection="1">
      <alignment horizontal="right" vertical="center" wrapText="1"/>
    </xf>
    <xf numFmtId="166" fontId="2" fillId="0" borderId="0" xfId="0" applyNumberFormat="1" applyFont="1"/>
    <xf numFmtId="1" fontId="27" fillId="0" borderId="91" xfId="0" applyNumberFormat="1" applyFont="1" applyBorder="1" applyAlignment="1">
      <alignment horizontal="center" vertical="center" wrapText="1"/>
    </xf>
    <xf numFmtId="1" fontId="22" fillId="0" borderId="23" xfId="0" applyNumberFormat="1" applyFont="1" applyBorder="1" applyAlignment="1">
      <alignment horizontal="center" vertical="center" wrapText="1"/>
    </xf>
    <xf numFmtId="0" fontId="2" fillId="0" borderId="0" xfId="0" applyFont="1" applyBorder="1" applyAlignment="1" applyProtection="1">
      <alignment horizontal="right" vertical="center" wrapText="1"/>
      <protection locked="0"/>
    </xf>
    <xf numFmtId="0" fontId="2" fillId="0" borderId="0" xfId="0" applyFont="1" applyAlignment="1" applyProtection="1">
      <alignment horizontal="right"/>
      <protection locked="0"/>
    </xf>
    <xf numFmtId="166" fontId="22" fillId="10" borderId="79" xfId="1" applyNumberFormat="1" applyFont="1" applyFill="1" applyBorder="1" applyAlignment="1" applyProtection="1">
      <alignment horizontal="right" vertical="center"/>
    </xf>
    <xf numFmtId="166" fontId="2" fillId="0" borderId="9" xfId="0" applyNumberFormat="1" applyFont="1" applyBorder="1" applyAlignment="1">
      <alignment vertical="center"/>
    </xf>
    <xf numFmtId="0" fontId="22" fillId="0" borderId="92" xfId="0" applyFont="1" applyBorder="1" applyAlignment="1">
      <alignment vertical="center"/>
    </xf>
    <xf numFmtId="166" fontId="22" fillId="10" borderId="93" xfId="0" applyNumberFormat="1" applyFont="1" applyFill="1" applyBorder="1" applyAlignment="1">
      <alignment horizontal="right" vertical="center"/>
    </xf>
    <xf numFmtId="166" fontId="22" fillId="10" borderId="94" xfId="0" applyNumberFormat="1" applyFont="1" applyFill="1" applyBorder="1" applyAlignment="1">
      <alignment horizontal="right" vertical="center"/>
    </xf>
    <xf numFmtId="0" fontId="24" fillId="0" borderId="71" xfId="0" applyFont="1" applyBorder="1" applyAlignment="1">
      <alignment vertical="center"/>
    </xf>
    <xf numFmtId="0" fontId="25" fillId="0" borderId="95" xfId="0" applyFont="1" applyBorder="1" applyAlignment="1"/>
    <xf numFmtId="0" fontId="25" fillId="0" borderId="9" xfId="0" applyFont="1" applyBorder="1" applyAlignment="1"/>
    <xf numFmtId="0" fontId="25" fillId="0" borderId="73" xfId="0" applyFont="1" applyBorder="1" applyAlignment="1"/>
    <xf numFmtId="1" fontId="26" fillId="0" borderId="96" xfId="0" applyNumberFormat="1" applyFont="1" applyBorder="1" applyAlignment="1">
      <alignment horizontal="center" vertical="center" wrapText="1"/>
    </xf>
    <xf numFmtId="1" fontId="22" fillId="0" borderId="97" xfId="0" applyNumberFormat="1" applyFont="1" applyBorder="1" applyAlignment="1">
      <alignment horizontal="center" vertical="center" wrapText="1"/>
    </xf>
    <xf numFmtId="1" fontId="26" fillId="0" borderId="97" xfId="0" applyNumberFormat="1" applyFont="1" applyBorder="1" applyAlignment="1">
      <alignment horizontal="center" vertical="center" wrapText="1"/>
    </xf>
    <xf numFmtId="1" fontId="22" fillId="0" borderId="98" xfId="0" applyNumberFormat="1" applyFont="1" applyBorder="1" applyAlignment="1">
      <alignment horizontal="center" vertical="center" wrapText="1"/>
    </xf>
    <xf numFmtId="1" fontId="22" fillId="7" borderId="52" xfId="0" applyNumberFormat="1" applyFont="1" applyFill="1" applyBorder="1" applyAlignment="1">
      <alignment horizontal="center" vertical="center" wrapText="1"/>
    </xf>
    <xf numFmtId="1" fontId="22" fillId="8" borderId="99" xfId="0" applyNumberFormat="1" applyFont="1" applyFill="1" applyBorder="1" applyAlignment="1">
      <alignment horizontal="center" vertical="center" wrapText="1"/>
    </xf>
    <xf numFmtId="1" fontId="27" fillId="0" borderId="66" xfId="0" applyNumberFormat="1" applyFont="1" applyBorder="1" applyAlignment="1">
      <alignment horizontal="center" vertical="center" wrapText="1"/>
    </xf>
    <xf numFmtId="1" fontId="27" fillId="0" borderId="100" xfId="0" applyNumberFormat="1" applyFont="1" applyBorder="1" applyAlignment="1">
      <alignment horizontal="center" vertical="center" wrapText="1"/>
    </xf>
    <xf numFmtId="1" fontId="22" fillId="0" borderId="52" xfId="0" applyNumberFormat="1" applyFont="1" applyBorder="1" applyAlignment="1">
      <alignment horizontal="center" vertical="center" wrapText="1"/>
    </xf>
    <xf numFmtId="1" fontId="22" fillId="0" borderId="99" xfId="0" applyNumberFormat="1" applyFont="1" applyBorder="1" applyAlignment="1">
      <alignment horizontal="center" vertical="center" wrapText="1"/>
    </xf>
    <xf numFmtId="1" fontId="22" fillId="0" borderId="66" xfId="0" applyNumberFormat="1" applyFont="1" applyBorder="1" applyAlignment="1">
      <alignment horizontal="center" vertical="center" wrapText="1"/>
    </xf>
    <xf numFmtId="1" fontId="22" fillId="0" borderId="100" xfId="0" applyNumberFormat="1" applyFont="1" applyBorder="1" applyAlignment="1">
      <alignment horizontal="center" vertical="center" wrapText="1"/>
    </xf>
    <xf numFmtId="1" fontId="22" fillId="0" borderId="99" xfId="0" applyNumberFormat="1" applyFont="1" applyBorder="1" applyAlignment="1">
      <alignment horizontal="center" vertical="center" wrapText="1"/>
    </xf>
    <xf numFmtId="1" fontId="22" fillId="0" borderId="66" xfId="0" applyNumberFormat="1" applyFont="1" applyBorder="1" applyAlignment="1">
      <alignment horizontal="center" vertical="center" wrapText="1"/>
    </xf>
    <xf numFmtId="1" fontId="22" fillId="0" borderId="100" xfId="0" applyNumberFormat="1" applyFont="1" applyBorder="1" applyAlignment="1">
      <alignment horizontal="center" vertical="center" wrapText="1"/>
    </xf>
    <xf numFmtId="1" fontId="22" fillId="0" borderId="101" xfId="0" applyNumberFormat="1" applyFont="1" applyBorder="1" applyAlignment="1">
      <alignment horizontal="center" vertical="center" wrapText="1"/>
    </xf>
    <xf numFmtId="0" fontId="2" fillId="0" borderId="52" xfId="0" applyFont="1" applyBorder="1"/>
    <xf numFmtId="0" fontId="26" fillId="0" borderId="3" xfId="3" applyFont="1" applyBorder="1" applyAlignment="1">
      <alignment horizontal="center" vertical="center" wrapText="1"/>
    </xf>
    <xf numFmtId="1" fontId="22" fillId="0" borderId="102" xfId="0" applyNumberFormat="1" applyFont="1" applyBorder="1" applyAlignment="1">
      <alignment horizontal="center" vertical="center" wrapText="1"/>
    </xf>
    <xf numFmtId="1" fontId="22" fillId="0" borderId="68" xfId="0" applyNumberFormat="1" applyFont="1" applyBorder="1" applyAlignment="1">
      <alignment horizontal="center" vertical="center" wrapText="1"/>
    </xf>
    <xf numFmtId="1" fontId="22" fillId="0" borderId="103" xfId="0" applyNumberFormat="1" applyFont="1" applyBorder="1" applyAlignment="1">
      <alignment horizontal="center" vertical="center" wrapText="1"/>
    </xf>
    <xf numFmtId="165" fontId="22" fillId="10" borderId="19" xfId="1" applyNumberFormat="1" applyFont="1" applyFill="1" applyBorder="1" applyAlignment="1" applyProtection="1"/>
    <xf numFmtId="165" fontId="22" fillId="10" borderId="27" xfId="1" applyNumberFormat="1" applyFont="1" applyFill="1" applyBorder="1" applyAlignment="1" applyProtection="1"/>
    <xf numFmtId="165" fontId="22" fillId="10" borderId="21" xfId="1" applyNumberFormat="1" applyFont="1" applyFill="1" applyBorder="1" applyAlignment="1" applyProtection="1"/>
    <xf numFmtId="165" fontId="22" fillId="10" borderId="58" xfId="1" applyNumberFormat="1" applyFont="1" applyFill="1" applyBorder="1" applyAlignment="1" applyProtection="1"/>
    <xf numFmtId="165" fontId="22" fillId="10" borderId="59" xfId="1" applyNumberFormat="1" applyFont="1" applyFill="1" applyBorder="1" applyAlignment="1" applyProtection="1"/>
    <xf numFmtId="165" fontId="22" fillId="0" borderId="104" xfId="1" applyNumberFormat="1" applyFont="1" applyBorder="1" applyAlignment="1" applyProtection="1">
      <protection locked="0"/>
    </xf>
    <xf numFmtId="0" fontId="2" fillId="0" borderId="105" xfId="0" applyFont="1" applyBorder="1"/>
    <xf numFmtId="165" fontId="22" fillId="10" borderId="18" xfId="1" applyNumberFormat="1" applyFont="1" applyFill="1" applyBorder="1" applyAlignment="1" applyProtection="1"/>
    <xf numFmtId="165" fontId="2" fillId="0" borderId="0" xfId="0" applyNumberFormat="1" applyFont="1"/>
    <xf numFmtId="165" fontId="2" fillId="10" borderId="35" xfId="1" applyNumberFormat="1" applyFont="1" applyFill="1" applyBorder="1" applyAlignment="1" applyProtection="1">
      <alignment horizontal="right" vertical="center" wrapText="1"/>
    </xf>
    <xf numFmtId="165" fontId="2" fillId="10" borderId="31" xfId="1" applyNumberFormat="1" applyFont="1" applyFill="1" applyBorder="1" applyAlignment="1" applyProtection="1">
      <alignment horizontal="right" vertical="center" wrapText="1"/>
    </xf>
    <xf numFmtId="165" fontId="2" fillId="10" borderId="106" xfId="1" applyNumberFormat="1" applyFont="1" applyFill="1" applyBorder="1" applyAlignment="1" applyProtection="1">
      <alignment horizontal="right" vertical="center" wrapText="1"/>
    </xf>
    <xf numFmtId="165" fontId="2" fillId="10" borderId="32" xfId="1" applyNumberFormat="1" applyFont="1" applyFill="1" applyBorder="1" applyAlignment="1" applyProtection="1">
      <alignment horizontal="right" vertical="center" wrapText="1"/>
    </xf>
    <xf numFmtId="165" fontId="2" fillId="10" borderId="41" xfId="1" applyNumberFormat="1" applyFont="1" applyFill="1" applyBorder="1" applyAlignment="1" applyProtection="1">
      <alignment horizontal="right" vertical="center" wrapText="1"/>
    </xf>
    <xf numFmtId="165" fontId="2" fillId="10" borderId="39" xfId="1" applyNumberFormat="1" applyFont="1" applyFill="1" applyBorder="1" applyAlignment="1" applyProtection="1">
      <alignment horizontal="right" vertical="center" wrapText="1"/>
    </xf>
    <xf numFmtId="165" fontId="2" fillId="10" borderId="107" xfId="1" applyNumberFormat="1" applyFont="1" applyFill="1" applyBorder="1" applyAlignment="1" applyProtection="1">
      <alignment horizontal="right" vertical="center" wrapText="1"/>
    </xf>
    <xf numFmtId="165" fontId="2" fillId="10" borderId="48" xfId="1" applyNumberFormat="1" applyFont="1" applyFill="1" applyBorder="1" applyAlignment="1" applyProtection="1">
      <alignment horizontal="right" vertical="center" wrapText="1"/>
    </xf>
    <xf numFmtId="165" fontId="2" fillId="10" borderId="45" xfId="1" applyNumberFormat="1" applyFont="1" applyFill="1" applyBorder="1" applyAlignment="1" applyProtection="1">
      <alignment horizontal="right" vertical="center" wrapText="1"/>
    </xf>
    <xf numFmtId="165" fontId="2" fillId="10" borderId="108" xfId="1" applyNumberFormat="1" applyFont="1" applyFill="1" applyBorder="1" applyAlignment="1" applyProtection="1">
      <alignment horizontal="right" vertical="center" wrapText="1"/>
    </xf>
    <xf numFmtId="165" fontId="2" fillId="0" borderId="16" xfId="1" applyNumberFormat="1" applyFont="1" applyBorder="1" applyAlignment="1" applyProtection="1">
      <alignment horizontal="right" vertical="center" wrapText="1"/>
    </xf>
    <xf numFmtId="0" fontId="2" fillId="0" borderId="0" xfId="0" applyFont="1" applyBorder="1" applyAlignment="1">
      <alignment horizontal="right" vertical="center"/>
    </xf>
    <xf numFmtId="0" fontId="2" fillId="0" borderId="0" xfId="0" applyFont="1" applyBorder="1" applyAlignment="1">
      <alignment vertical="center" wrapText="1"/>
    </xf>
    <xf numFmtId="164" fontId="22" fillId="0" borderId="0" xfId="1" applyFont="1" applyBorder="1" applyAlignment="1" applyProtection="1">
      <alignment horizontal="center" vertical="center"/>
      <protection locked="0"/>
    </xf>
    <xf numFmtId="164" fontId="2" fillId="0" borderId="0" xfId="1" applyFont="1" applyBorder="1" applyAlignment="1" applyProtection="1">
      <alignment horizontal="right" vertical="center" wrapText="1"/>
    </xf>
    <xf numFmtId="164" fontId="2" fillId="10" borderId="52" xfId="1" applyFont="1" applyFill="1" applyBorder="1" applyAlignment="1" applyProtection="1">
      <alignment vertical="center"/>
    </xf>
    <xf numFmtId="164" fontId="2" fillId="0" borderId="0" xfId="1" applyFont="1" applyBorder="1" applyAlignment="1" applyProtection="1"/>
    <xf numFmtId="164" fontId="22" fillId="10" borderId="52" xfId="1" applyFont="1" applyFill="1" applyBorder="1" applyAlignment="1" applyProtection="1">
      <alignment vertical="center"/>
    </xf>
    <xf numFmtId="164" fontId="22" fillId="0" borderId="0" xfId="1" applyFont="1" applyBorder="1" applyAlignment="1" applyProtection="1">
      <alignment vertical="center"/>
    </xf>
    <xf numFmtId="166" fontId="2" fillId="0" borderId="0" xfId="1" applyNumberFormat="1" applyFont="1" applyBorder="1" applyAlignment="1" applyProtection="1"/>
    <xf numFmtId="166" fontId="22" fillId="0" borderId="52" xfId="1" applyNumberFormat="1" applyFont="1" applyBorder="1" applyAlignment="1" applyProtection="1">
      <protection locked="0"/>
    </xf>
    <xf numFmtId="164" fontId="2" fillId="15" borderId="52" xfId="1" applyFont="1" applyFill="1" applyBorder="1" applyAlignment="1" applyProtection="1">
      <alignment vertical="center"/>
      <protection locked="0"/>
    </xf>
    <xf numFmtId="0" fontId="2" fillId="0" borderId="109" xfId="0" applyFont="1" applyBorder="1" applyAlignment="1" applyProtection="1">
      <alignment vertical="center" wrapText="1"/>
      <protection locked="0"/>
    </xf>
    <xf numFmtId="0" fontId="2" fillId="0" borderId="109" xfId="0" applyFont="1" applyBorder="1" applyAlignment="1" applyProtection="1">
      <alignment vertical="center" wrapText="1"/>
      <protection locked="0"/>
    </xf>
    <xf numFmtId="164" fontId="2" fillId="0" borderId="52" xfId="1" applyFont="1" applyBorder="1" applyAlignment="1" applyProtection="1">
      <alignment vertical="center"/>
      <protection locked="0"/>
    </xf>
    <xf numFmtId="164" fontId="2" fillId="10" borderId="52" xfId="1" applyFont="1" applyFill="1" applyBorder="1" applyAlignment="1" applyProtection="1">
      <alignment vertical="center"/>
      <protection locked="0"/>
    </xf>
    <xf numFmtId="0" fontId="2" fillId="0" borderId="0" xfId="0" applyFont="1" applyBorder="1" applyAlignment="1" applyProtection="1">
      <alignment vertical="center" wrapText="1"/>
      <protection locked="0"/>
    </xf>
    <xf numFmtId="1" fontId="22" fillId="7" borderId="14" xfId="0" applyNumberFormat="1" applyFont="1" applyFill="1" applyBorder="1" applyAlignment="1">
      <alignment horizontal="center" vertical="center" wrapText="1"/>
    </xf>
    <xf numFmtId="1" fontId="22" fillId="8" borderId="8" xfId="0" applyNumberFormat="1" applyFont="1" applyFill="1" applyBorder="1" applyAlignment="1">
      <alignment horizontal="center" vertical="center" wrapText="1"/>
    </xf>
    <xf numFmtId="1" fontId="27" fillId="0" borderId="14" xfId="0" applyNumberFormat="1" applyFont="1" applyBorder="1" applyAlignment="1">
      <alignment horizontal="center" vertical="center" wrapText="1"/>
    </xf>
    <xf numFmtId="1" fontId="27" fillId="0" borderId="10" xfId="0" applyNumberFormat="1" applyFont="1" applyBorder="1" applyAlignment="1">
      <alignment horizontal="center" vertical="center" wrapText="1"/>
    </xf>
    <xf numFmtId="0" fontId="2" fillId="0" borderId="14" xfId="0" applyFont="1" applyBorder="1"/>
    <xf numFmtId="165" fontId="22" fillId="10" borderId="17" xfId="1" applyNumberFormat="1" applyFont="1" applyFill="1" applyBorder="1" applyAlignment="1" applyProtection="1"/>
    <xf numFmtId="0" fontId="2" fillId="0" borderId="61" xfId="0" applyFont="1" applyBorder="1" applyAlignment="1">
      <alignment horizontal="right" vertical="center"/>
    </xf>
    <xf numFmtId="0" fontId="2" fillId="0" borderId="63" xfId="0" applyFont="1" applyBorder="1" applyAlignment="1">
      <alignment vertical="center"/>
    </xf>
    <xf numFmtId="165" fontId="2" fillId="10" borderId="61" xfId="1" applyNumberFormat="1" applyFont="1" applyFill="1" applyBorder="1" applyAlignment="1" applyProtection="1">
      <alignment horizontal="right" vertical="center" wrapText="1"/>
    </xf>
    <xf numFmtId="165" fontId="2" fillId="10" borderId="62" xfId="1" applyNumberFormat="1" applyFont="1" applyFill="1" applyBorder="1" applyAlignment="1" applyProtection="1">
      <alignment horizontal="right" vertical="center" wrapText="1"/>
    </xf>
    <xf numFmtId="0" fontId="2" fillId="18" borderId="42" xfId="0" applyFont="1" applyFill="1" applyBorder="1" applyAlignment="1">
      <alignment horizontal="right" vertical="center"/>
    </xf>
    <xf numFmtId="0" fontId="2" fillId="18" borderId="43" xfId="0" applyFont="1" applyFill="1" applyBorder="1" applyAlignment="1">
      <alignment vertical="center"/>
    </xf>
    <xf numFmtId="0" fontId="2" fillId="0" borderId="42" xfId="0" applyFont="1" applyBorder="1" applyAlignment="1">
      <alignment horizontal="right" vertical="center"/>
    </xf>
    <xf numFmtId="0" fontId="2" fillId="0" borderId="43" xfId="0" applyFont="1" applyBorder="1" applyAlignment="1">
      <alignment vertical="center"/>
    </xf>
    <xf numFmtId="0" fontId="2" fillId="0" borderId="42" xfId="0" applyFont="1" applyBorder="1" applyAlignment="1">
      <alignment horizontal="right" vertical="center"/>
    </xf>
    <xf numFmtId="0" fontId="2" fillId="0" borderId="43" xfId="0" applyFont="1" applyBorder="1" applyAlignment="1">
      <alignment vertical="center"/>
    </xf>
    <xf numFmtId="0" fontId="2" fillId="0" borderId="49" xfId="0" applyFont="1" applyBorder="1" applyAlignment="1">
      <alignment horizontal="right" vertical="center"/>
    </xf>
    <xf numFmtId="0" fontId="2" fillId="0" borderId="50" xfId="0" applyFont="1" applyBorder="1" applyAlignment="1">
      <alignment vertical="center"/>
    </xf>
    <xf numFmtId="165" fontId="2" fillId="0" borderId="86" xfId="1" applyNumberFormat="1" applyFont="1" applyBorder="1" applyAlignment="1" applyProtection="1">
      <alignment horizontal="right" vertical="center" wrapText="1"/>
    </xf>
    <xf numFmtId="0" fontId="26" fillId="0" borderId="67" xfId="0" applyFont="1" applyBorder="1" applyAlignment="1">
      <alignment horizontal="center" vertical="center" wrapText="1"/>
    </xf>
    <xf numFmtId="0" fontId="26" fillId="0" borderId="113" xfId="0" applyFont="1" applyBorder="1" applyAlignment="1">
      <alignment horizontal="center" vertical="center" wrapText="1"/>
    </xf>
    <xf numFmtId="0" fontId="26" fillId="0" borderId="114" xfId="0" applyFont="1" applyBorder="1" applyAlignment="1">
      <alignment horizontal="center" vertical="center" wrapText="1"/>
    </xf>
    <xf numFmtId="0" fontId="2" fillId="0" borderId="115" xfId="0" applyFont="1" applyBorder="1" applyAlignment="1">
      <alignment vertical="center"/>
    </xf>
    <xf numFmtId="166" fontId="2" fillId="10" borderId="56" xfId="0" applyNumberFormat="1" applyFont="1" applyFill="1" applyBorder="1" applyAlignment="1">
      <alignment horizontal="right" vertical="center"/>
    </xf>
    <xf numFmtId="166" fontId="2" fillId="10" borderId="73" xfId="0" applyNumberFormat="1" applyFont="1" applyFill="1" applyBorder="1" applyAlignment="1">
      <alignment horizontal="right" vertical="center"/>
    </xf>
    <xf numFmtId="166" fontId="2" fillId="10" borderId="40" xfId="0" applyNumberFormat="1" applyFont="1" applyFill="1" applyBorder="1" applyAlignment="1">
      <alignment horizontal="right" vertical="center"/>
    </xf>
    <xf numFmtId="166" fontId="2" fillId="10" borderId="47" xfId="0" applyNumberFormat="1" applyFont="1" applyFill="1" applyBorder="1" applyAlignment="1">
      <alignment horizontal="right" vertical="center"/>
    </xf>
    <xf numFmtId="166" fontId="22" fillId="10" borderId="116" xfId="1" applyNumberFormat="1" applyFont="1" applyFill="1" applyBorder="1" applyAlignment="1" applyProtection="1">
      <alignment horizontal="right" vertical="center"/>
    </xf>
    <xf numFmtId="166" fontId="22" fillId="10" borderId="64" xfId="0" applyNumberFormat="1" applyFont="1" applyFill="1" applyBorder="1" applyAlignment="1">
      <alignment horizontal="right" vertical="center"/>
    </xf>
    <xf numFmtId="166" fontId="2" fillId="0" borderId="64" xfId="0" applyNumberFormat="1" applyFont="1" applyBorder="1" applyAlignment="1">
      <alignment vertical="center"/>
    </xf>
    <xf numFmtId="166" fontId="2" fillId="0" borderId="78" xfId="1" applyNumberFormat="1" applyFont="1" applyBorder="1" applyAlignment="1" applyProtection="1">
      <alignment vertical="center"/>
    </xf>
    <xf numFmtId="166" fontId="2" fillId="10" borderId="116" xfId="0" applyNumberFormat="1" applyFont="1" applyFill="1" applyBorder="1" applyAlignment="1">
      <alignment horizontal="right" vertical="center"/>
    </xf>
    <xf numFmtId="166" fontId="22" fillId="10" borderId="117" xfId="0" applyNumberFormat="1" applyFont="1" applyFill="1" applyBorder="1" applyAlignment="1">
      <alignment horizontal="right" vertical="center"/>
    </xf>
    <xf numFmtId="166" fontId="22" fillId="10" borderId="83" xfId="1" applyNumberFormat="1" applyFont="1" applyFill="1" applyBorder="1" applyAlignment="1" applyProtection="1">
      <alignment horizontal="right" vertical="center"/>
    </xf>
    <xf numFmtId="166" fontId="22" fillId="10" borderId="118" xfId="0" applyNumberFormat="1" applyFont="1" applyFill="1" applyBorder="1" applyAlignment="1">
      <alignment horizontal="right" vertical="center"/>
    </xf>
    <xf numFmtId="166" fontId="22" fillId="10" borderId="85" xfId="1" applyNumberFormat="1" applyFont="1" applyFill="1" applyBorder="1" applyAlignment="1" applyProtection="1">
      <alignment horizontal="right" vertical="center"/>
    </xf>
    <xf numFmtId="0" fontId="2" fillId="0" borderId="34" xfId="0" applyFont="1" applyFill="1" applyBorder="1" applyAlignment="1">
      <alignment vertical="center"/>
    </xf>
    <xf numFmtId="0" fontId="10" fillId="2" borderId="1" xfId="4" applyFont="1" applyFill="1" applyBorder="1" applyAlignment="1">
      <alignment horizontal="center" vertical="center"/>
    </xf>
    <xf numFmtId="3" fontId="13" fillId="0" borderId="0" xfId="0" applyNumberFormat="1" applyFont="1" applyBorder="1" applyAlignment="1">
      <alignment horizontal="center" vertical="top" wrapText="1"/>
    </xf>
    <xf numFmtId="0" fontId="22" fillId="0" borderId="52" xfId="0" applyFont="1" applyBorder="1" applyAlignment="1" applyProtection="1">
      <alignment horizontal="right" vertical="center" wrapText="1"/>
      <protection locked="0"/>
    </xf>
    <xf numFmtId="0" fontId="2" fillId="0" borderId="52" xfId="0" applyFont="1" applyBorder="1" applyAlignment="1" applyProtection="1">
      <alignment horizontal="center" vertical="center" wrapText="1"/>
      <protection locked="0"/>
    </xf>
    <xf numFmtId="0" fontId="22" fillId="0" borderId="52" xfId="0" applyFont="1" applyBorder="1" applyAlignment="1" applyProtection="1">
      <alignment horizontal="center" vertical="center" wrapText="1"/>
      <protection locked="0"/>
    </xf>
    <xf numFmtId="0" fontId="22" fillId="0" borderId="52" xfId="0" applyFont="1" applyBorder="1" applyAlignment="1" applyProtection="1">
      <alignment horizontal="right" vertical="center"/>
      <protection locked="0"/>
    </xf>
    <xf numFmtId="0" fontId="2" fillId="0" borderId="52" xfId="0" applyFont="1" applyBorder="1" applyAlignment="1" applyProtection="1">
      <alignment horizontal="right" vertical="center"/>
      <protection locked="0"/>
    </xf>
    <xf numFmtId="0" fontId="22" fillId="12" borderId="52" xfId="0" applyFont="1" applyFill="1" applyBorder="1" applyAlignment="1" applyProtection="1">
      <alignment horizontal="center" vertical="center" wrapText="1"/>
      <protection locked="0"/>
    </xf>
    <xf numFmtId="0" fontId="2" fillId="0" borderId="52" xfId="0" applyFont="1" applyBorder="1" applyAlignment="1" applyProtection="1">
      <alignment horizontal="right" vertical="center" wrapText="1"/>
      <protection locked="0"/>
    </xf>
    <xf numFmtId="0" fontId="26" fillId="0" borderId="8" xfId="3" applyFont="1" applyBorder="1" applyAlignment="1">
      <alignment horizontal="center" vertical="center" wrapText="1"/>
    </xf>
    <xf numFmtId="0" fontId="22" fillId="0" borderId="17" xfId="0" applyFont="1" applyBorder="1" applyAlignment="1">
      <alignment horizontal="left"/>
    </xf>
    <xf numFmtId="0" fontId="22" fillId="0" borderId="17" xfId="0" applyFont="1" applyBorder="1" applyAlignment="1">
      <alignment horizontal="left" indent="1"/>
    </xf>
    <xf numFmtId="0" fontId="22" fillId="11" borderId="52" xfId="0" applyFont="1" applyFill="1" applyBorder="1" applyAlignment="1" applyProtection="1">
      <alignment horizontal="center" vertical="center"/>
      <protection locked="0"/>
    </xf>
    <xf numFmtId="0" fontId="22" fillId="0" borderId="21" xfId="0" applyFont="1" applyBorder="1" applyAlignment="1">
      <alignment horizontal="left"/>
    </xf>
    <xf numFmtId="0" fontId="24" fillId="0" borderId="14" xfId="0" applyFont="1" applyBorder="1" applyAlignment="1">
      <alignment horizontal="center" vertical="center"/>
    </xf>
    <xf numFmtId="1" fontId="23" fillId="3" borderId="8" xfId="0" applyNumberFormat="1" applyFont="1" applyFill="1" applyBorder="1" applyAlignment="1">
      <alignment horizontal="center" vertical="center" wrapText="1"/>
    </xf>
    <xf numFmtId="0" fontId="23" fillId="3" borderId="65" xfId="0" applyFont="1" applyFill="1" applyBorder="1" applyAlignment="1">
      <alignment horizontal="center" vertical="center" wrapText="1"/>
    </xf>
    <xf numFmtId="0" fontId="28" fillId="14" borderId="52" xfId="0" applyFont="1" applyFill="1" applyBorder="1" applyAlignment="1" applyProtection="1">
      <alignment horizontal="center" vertical="center"/>
      <protection locked="0"/>
    </xf>
    <xf numFmtId="0" fontId="26" fillId="0" borderId="14" xfId="3" applyFont="1" applyBorder="1" applyAlignment="1">
      <alignment horizontal="center" vertical="center" wrapText="1"/>
    </xf>
    <xf numFmtId="0" fontId="22" fillId="0" borderId="21" xfId="0" applyFont="1" applyBorder="1" applyAlignment="1">
      <alignment horizontal="left" indent="1"/>
    </xf>
    <xf numFmtId="0" fontId="26" fillId="0" borderId="70" xfId="3" applyFont="1" applyBorder="1" applyAlignment="1">
      <alignment horizontal="center" vertical="center" wrapText="1"/>
    </xf>
    <xf numFmtId="0" fontId="2" fillId="0" borderId="15" xfId="0" applyFont="1" applyBorder="1" applyAlignment="1" applyProtection="1">
      <alignment horizontal="center" vertical="center" wrapText="1"/>
      <protection locked="0"/>
    </xf>
    <xf numFmtId="0" fontId="2" fillId="15" borderId="52" xfId="0" applyFont="1" applyFill="1" applyBorder="1" applyAlignment="1" applyProtection="1">
      <alignment horizontal="right" vertical="center" wrapText="1"/>
      <protection locked="0"/>
    </xf>
    <xf numFmtId="0" fontId="2" fillId="7" borderId="52" xfId="0" applyFont="1" applyFill="1" applyBorder="1" applyAlignment="1" applyProtection="1">
      <alignment horizontal="center" vertical="center" wrapText="1"/>
      <protection locked="0"/>
    </xf>
    <xf numFmtId="0" fontId="22" fillId="0" borderId="14" xfId="0" applyFont="1" applyBorder="1" applyAlignment="1" applyProtection="1">
      <alignment horizontal="right" vertical="center" wrapText="1"/>
      <protection locked="0"/>
    </xf>
    <xf numFmtId="0" fontId="28" fillId="14" borderId="109" xfId="0" applyFont="1" applyFill="1" applyBorder="1" applyAlignment="1" applyProtection="1">
      <alignment horizontal="center" vertical="center"/>
      <protection locked="0"/>
    </xf>
    <xf numFmtId="0" fontId="2" fillId="0" borderId="3" xfId="0" applyFont="1" applyBorder="1" applyAlignment="1" applyProtection="1">
      <alignment horizontal="right" vertical="center" wrapText="1"/>
      <protection locked="0"/>
    </xf>
    <xf numFmtId="0" fontId="22" fillId="0" borderId="52" xfId="0" applyFont="1" applyBorder="1" applyAlignment="1" applyProtection="1">
      <alignment horizontal="center" vertical="center"/>
      <protection locked="0"/>
    </xf>
    <xf numFmtId="0" fontId="22" fillId="0" borderId="0" xfId="0" applyFont="1" applyBorder="1" applyAlignment="1" applyProtection="1">
      <alignment horizontal="center" vertical="center" wrapText="1"/>
      <protection locked="0"/>
    </xf>
    <xf numFmtId="0" fontId="26" fillId="0" borderId="52" xfId="3" applyFont="1" applyBorder="1" applyAlignment="1">
      <alignment horizontal="center" vertical="center" wrapText="1"/>
    </xf>
    <xf numFmtId="0" fontId="22" fillId="0" borderId="18" xfId="0" applyFont="1" applyBorder="1" applyAlignment="1">
      <alignment horizontal="left"/>
    </xf>
    <xf numFmtId="0" fontId="22" fillId="11" borderId="109" xfId="0" applyFont="1" applyFill="1" applyBorder="1" applyAlignment="1" applyProtection="1">
      <alignment horizontal="center" vertical="center"/>
      <protection locked="0"/>
    </xf>
    <xf numFmtId="0" fontId="26" fillId="0" borderId="14" xfId="3" applyFont="1" applyBorder="1" applyAlignment="1">
      <alignment horizontal="center" vertical="center"/>
    </xf>
    <xf numFmtId="0" fontId="24" fillId="0" borderId="24" xfId="0" applyFont="1" applyBorder="1" applyAlignment="1">
      <alignment horizontal="center" vertical="center"/>
    </xf>
    <xf numFmtId="0" fontId="23" fillId="3" borderId="110" xfId="0" applyFont="1" applyFill="1" applyBorder="1" applyAlignment="1">
      <alignment horizontal="center" vertical="center" wrapText="1"/>
    </xf>
    <xf numFmtId="0" fontId="23" fillId="3" borderId="111" xfId="0" applyFont="1" applyFill="1" applyBorder="1" applyAlignment="1">
      <alignment horizontal="center" vertical="center" wrapText="1"/>
    </xf>
    <xf numFmtId="0" fontId="23" fillId="3" borderId="112" xfId="0" applyFont="1" applyFill="1" applyBorder="1" applyAlignment="1">
      <alignment horizontal="center" vertical="center" wrapText="1"/>
    </xf>
  </cellXfs>
  <cellStyles count="6">
    <cellStyle name="Migliaia" xfId="1" builtinId="3"/>
    <cellStyle name="Normal 2 2" xfId="2"/>
    <cellStyle name="Normal 2 3" xfId="3"/>
    <cellStyle name="Normal 5" xfId="4"/>
    <cellStyle name="Normale" xfId="0" builtinId="0"/>
    <cellStyle name="Normale 3 2 2 4 3" xfId="5"/>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
      <font>
        <color rgb="FF9C0006"/>
      </font>
      <fill>
        <patternFill>
          <bgColor rgb="FFFFC7CE"/>
        </patternFill>
      </fill>
    </dxf>
    <dxf>
      <font>
        <color rgb="FF9C0006"/>
      </font>
      <fill>
        <patternFill>
          <bgColor rgb="FFFF0000"/>
        </patternFill>
      </fill>
    </dxf>
    <dxf>
      <font>
        <color rgb="FF9C0006"/>
      </font>
      <fill>
        <patternFill>
          <bgColor rgb="FFFFC7CE"/>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
      <fill>
        <patternFill>
          <bgColor rgb="FFFF0000"/>
        </patternFill>
      </fill>
    </dxf>
    <dxf>
      <font>
        <color rgb="FF9C0006"/>
      </font>
      <fill>
        <patternFill>
          <bgColor rgb="FFFF0000"/>
        </patternFill>
      </fill>
    </dxf>
    <dxf>
      <fill>
        <patternFill>
          <bgColor rgb="FFFF0000"/>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
      <fill>
        <patternFill>
          <bgColor rgb="FFFF0000"/>
        </patternFill>
      </fill>
    </dxf>
    <dxf>
      <fill>
        <patternFill>
          <bgColor rgb="FFFF0000"/>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993366"/>
      <rgbColor rgb="FFF7F0DE"/>
      <rgbColor rgb="FFEAF0F6"/>
      <rgbColor rgb="FF660066"/>
      <rgbColor rgb="FFEAE8E8"/>
      <rgbColor rgb="FF0066CC"/>
      <rgbColor rgb="FFD5D1D1"/>
      <rgbColor rgb="FF000080"/>
      <rgbColor rgb="FFFF00FF"/>
      <rgbColor rgb="FFDBDDCD"/>
      <rgbColor rgb="FF00FFFF"/>
      <rgbColor rgb="FF800080"/>
      <rgbColor rgb="FF800000"/>
      <rgbColor rgb="FF008080"/>
      <rgbColor rgb="FF0000FF"/>
      <rgbColor rgb="FF00CCFF"/>
      <rgbColor rgb="FFF2F2F2"/>
      <rgbColor rgb="FFEDEEE6"/>
      <rgbColor rgb="FFEFE0BE"/>
      <rgbColor rgb="FFBFBFBF"/>
      <rgbColor rgb="FFD9D9D9"/>
      <rgbColor rgb="FFA6A6A6"/>
      <rgbColor rgb="FFFFC7CE"/>
      <rgbColor rgb="FF3366FF"/>
      <rgbColor rgb="FF33CCCC"/>
      <rgbColor rgb="FF99CC00"/>
      <rgbColor rgb="FFFFC000"/>
      <rgbColor rgb="FFFF9900"/>
      <rgbColor rgb="FFFF6600"/>
      <rgbColor rgb="FF666699"/>
      <rgbColor rgb="FF909090"/>
      <rgbColor rgb="FF003366"/>
      <rgbColor rgb="FF00B050"/>
      <rgbColor rgb="FF003300"/>
      <rgbColor rgb="FF333300"/>
      <rgbColor rgb="FF993300"/>
      <rgbColor rgb="FF993366"/>
      <rgbColor rgb="FF333399"/>
      <rgbColor rgb="FF3A575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1</xdr:row>
      <xdr:rowOff>25920</xdr:rowOff>
    </xdr:from>
    <xdr:to>
      <xdr:col>1</xdr:col>
      <xdr:colOff>496800</xdr:colOff>
      <xdr:row>6</xdr:row>
      <xdr:rowOff>133200</xdr:rowOff>
    </xdr:to>
    <xdr:pic>
      <xdr:nvPicPr>
        <xdr:cNvPr id="2" name="Picture 1" descr="logo_sicilia"/>
        <xdr:cNvPicPr/>
      </xdr:nvPicPr>
      <xdr:blipFill>
        <a:blip xmlns:r="http://schemas.openxmlformats.org/officeDocument/2006/relationships" r:embed="rId1"/>
        <a:stretch/>
      </xdr:blipFill>
      <xdr:spPr>
        <a:xfrm>
          <a:off x="228600" y="163080"/>
          <a:ext cx="910800" cy="968040"/>
        </a:xfrm>
        <a:prstGeom prst="rect">
          <a:avLst/>
        </a:prstGeom>
        <a:ln w="9360">
          <a:noFill/>
        </a:ln>
      </xdr:spPr>
    </xdr:pic>
    <xdr:clientData/>
  </xdr:twoCellAnchor>
  <xdr:twoCellAnchor>
    <xdr:from>
      <xdr:col>1</xdr:col>
      <xdr:colOff>7920</xdr:colOff>
      <xdr:row>33</xdr:row>
      <xdr:rowOff>18720</xdr:rowOff>
    </xdr:from>
    <xdr:to>
      <xdr:col>17</xdr:col>
      <xdr:colOff>12960</xdr:colOff>
      <xdr:row>33</xdr:row>
      <xdr:rowOff>18720</xdr:rowOff>
    </xdr:to>
    <xdr:sp macro="" textlink="">
      <xdr:nvSpPr>
        <xdr:cNvPr id="3" name="Line 1"/>
        <xdr:cNvSpPr/>
      </xdr:nvSpPr>
      <xdr:spPr>
        <a:xfrm>
          <a:off x="650520" y="6669000"/>
          <a:ext cx="10286640" cy="0"/>
        </a:xfrm>
        <a:prstGeom prst="line">
          <a:avLst/>
        </a:prstGeom>
        <a:ln w="38160">
          <a:solidFill>
            <a:schemeClr val="accent5">
              <a:lumMod val="50000"/>
            </a:schemeClr>
          </a:solidFill>
          <a:round/>
        </a:ln>
      </xdr:spPr>
      <xdr:style>
        <a:lnRef idx="0">
          <a:scrgbClr r="0" g="0" b="0"/>
        </a:lnRef>
        <a:fillRef idx="0">
          <a:scrgbClr r="0" g="0" b="0"/>
        </a:fillRef>
        <a:effectRef idx="0">
          <a:scrgbClr r="0" g="0" b="0"/>
        </a:effectRef>
        <a:fontRef idx="minor"/>
      </xdr:style>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o.marussich/Desktop/dotazione/linee%20guida%202021/dotazione%202021/Documenti/Art.79/Flusso_personale/Anagrafiche_varie_personale/B09_Profilo_Gestionale_new_CCNL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09_Profilo_Gestionale"/>
      <sheetName val="bloomberg"/>
    </sheetNames>
    <sheetDataSet>
      <sheetData sheetId="0">
        <row r="1">
          <cell r="A1" t="str">
            <v>C_FINALE</v>
          </cell>
        </row>
      </sheetData>
      <sheetData sheetId="1"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MJ91"/>
  <sheetViews>
    <sheetView showGridLines="0" topLeftCell="A22" zoomScale="110" zoomScaleNormal="110" zoomScalePageLayoutView="50" workbookViewId="0">
      <selection activeCell="P29" sqref="P29"/>
    </sheetView>
  </sheetViews>
  <sheetFormatPr defaultColWidth="9.140625" defaultRowHeight="15"/>
  <cols>
    <col min="1" max="1024" width="9.140625" style="1"/>
  </cols>
  <sheetData>
    <row r="3" spans="2:59">
      <c r="B3" s="2"/>
    </row>
    <row r="4" spans="2:59" ht="23.25">
      <c r="BG4" s="3"/>
    </row>
    <row r="9" spans="2:59" ht="23.25">
      <c r="G9" s="4"/>
      <c r="H9" s="5"/>
    </row>
    <row r="10" spans="2:59">
      <c r="H10" s="2"/>
    </row>
    <row r="11" spans="2:59">
      <c r="H11" s="2"/>
    </row>
    <row r="12" spans="2:59">
      <c r="B12" s="2"/>
      <c r="H12" s="2"/>
    </row>
    <row r="13" spans="2:59">
      <c r="B13" s="2"/>
      <c r="H13" s="2"/>
    </row>
    <row r="14" spans="2:59">
      <c r="B14" s="2"/>
      <c r="H14" s="2"/>
    </row>
    <row r="15" spans="2:59" ht="27.75">
      <c r="B15" s="2"/>
      <c r="H15" s="6"/>
    </row>
    <row r="16" spans="2:59">
      <c r="B16" s="2"/>
      <c r="H16" s="2"/>
    </row>
    <row r="17" spans="1:59">
      <c r="B17" s="2"/>
    </row>
    <row r="18" spans="1:59">
      <c r="B18" s="2"/>
    </row>
    <row r="19" spans="1:59">
      <c r="B19" s="2"/>
    </row>
    <row r="20" spans="1:59" ht="39" customHeight="1">
      <c r="D20" s="7" t="s">
        <v>0</v>
      </c>
      <c r="F20" s="359" t="s">
        <v>1</v>
      </c>
      <c r="G20" s="359"/>
      <c r="H20" s="359"/>
      <c r="I20" s="359"/>
      <c r="J20" s="359"/>
      <c r="K20" s="359"/>
      <c r="L20" s="359"/>
      <c r="M20" s="359"/>
      <c r="O20" s="8"/>
    </row>
    <row r="21" spans="1:59">
      <c r="E21" s="9"/>
    </row>
    <row r="22" spans="1:59">
      <c r="B22" s="2"/>
    </row>
    <row r="26" spans="1:59">
      <c r="A26" s="10"/>
      <c r="B26" s="10"/>
      <c r="C26" s="10"/>
    </row>
    <row r="27" spans="1:59">
      <c r="A27" s="10"/>
      <c r="B27" s="10"/>
      <c r="C27" s="10"/>
    </row>
    <row r="28" spans="1:59" ht="28.5" customHeight="1">
      <c r="A28" s="10"/>
      <c r="B28" s="10"/>
      <c r="C28" s="10"/>
      <c r="BG28" s="11"/>
    </row>
    <row r="29" spans="1:59" ht="35.25" customHeight="1">
      <c r="A29" s="10"/>
      <c r="B29" s="10"/>
      <c r="C29" s="360" t="s">
        <v>443</v>
      </c>
      <c r="D29" s="360"/>
      <c r="E29" s="360"/>
      <c r="F29" s="360"/>
      <c r="G29" s="360"/>
      <c r="H29" s="360"/>
      <c r="I29" s="360"/>
      <c r="J29" s="360"/>
      <c r="K29" s="360"/>
      <c r="L29" s="360"/>
      <c r="M29" s="360"/>
      <c r="N29" s="360"/>
      <c r="O29" s="360"/>
    </row>
    <row r="30" spans="1:59" ht="18.75" customHeight="1">
      <c r="A30" s="10"/>
      <c r="B30" s="10"/>
      <c r="C30" s="360"/>
      <c r="D30" s="360"/>
      <c r="E30" s="360"/>
      <c r="F30" s="360"/>
      <c r="G30" s="360"/>
      <c r="H30" s="360"/>
      <c r="I30" s="360"/>
      <c r="J30" s="360"/>
      <c r="K30" s="360"/>
      <c r="L30" s="360"/>
      <c r="M30" s="360"/>
      <c r="N30" s="360"/>
      <c r="O30" s="360"/>
      <c r="S30" s="12"/>
    </row>
    <row r="31" spans="1:59" ht="24.75" customHeight="1">
      <c r="C31" s="360"/>
      <c r="D31" s="360"/>
      <c r="E31" s="360"/>
      <c r="F31" s="360"/>
      <c r="G31" s="360"/>
      <c r="H31" s="360"/>
      <c r="I31" s="360"/>
      <c r="J31" s="360"/>
      <c r="K31" s="360"/>
      <c r="L31" s="360"/>
      <c r="M31" s="360"/>
      <c r="N31" s="360"/>
      <c r="O31" s="360"/>
    </row>
    <row r="32" spans="1:59" ht="20.25">
      <c r="D32" s="13"/>
    </row>
    <row r="33" spans="4:5" ht="20.25">
      <c r="D33" s="13"/>
    </row>
    <row r="34" spans="4:5" ht="20.25">
      <c r="D34" s="13"/>
    </row>
    <row r="35" spans="4:5" ht="20.25">
      <c r="D35" s="13"/>
    </row>
    <row r="36" spans="4:5" ht="20.25">
      <c r="E36" s="13"/>
    </row>
    <row r="37" spans="4:5" ht="20.25">
      <c r="E37" s="13"/>
    </row>
    <row r="38" spans="4:5" ht="20.25">
      <c r="E38" s="13"/>
    </row>
    <row r="54" spans="4:59" ht="18">
      <c r="BG54" s="14"/>
    </row>
    <row r="55" spans="4:59" hidden="1"/>
    <row r="56" spans="4:59" ht="20.25">
      <c r="D56" s="13"/>
      <c r="E56" s="13"/>
    </row>
    <row r="57" spans="4:59" ht="20.25">
      <c r="D57" s="13"/>
      <c r="E57" s="13"/>
    </row>
    <row r="58" spans="4:59" ht="20.25">
      <c r="D58" s="13"/>
      <c r="E58" s="13"/>
    </row>
    <row r="59" spans="4:59">
      <c r="P59" s="12"/>
      <c r="Q59" s="12"/>
      <c r="AL59" s="12"/>
    </row>
    <row r="77" spans="18:59" ht="18.75">
      <c r="AX77" s="15"/>
      <c r="AY77" s="15"/>
      <c r="BG77" s="15"/>
    </row>
    <row r="80" spans="18:59" ht="18">
      <c r="R80" s="14"/>
      <c r="AX80" s="14"/>
    </row>
    <row r="91" spans="59:59" ht="18">
      <c r="BG91" s="14"/>
    </row>
  </sheetData>
  <mergeCells count="2">
    <mergeCell ref="F20:M20"/>
    <mergeCell ref="C29:O31"/>
  </mergeCells>
  <dataValidations count="1">
    <dataValidation type="list" allowBlank="1" showInputMessage="1" showErrorMessage="1" sqref="F20:M20">
      <formula1>aziende</formula1>
      <formula2>0</formula2>
    </dataValidation>
  </dataValidations>
  <pageMargins left="0.70833333333333304" right="0.70833333333333304" top="0.74791666666666701" bottom="0.74861111111111101" header="0.51180555555555496" footer="0.31527777777777799"/>
  <pageSetup paperSize="9" scale="53" firstPageNumber="0" orientation="portrait" r:id="rId1"/>
  <headerFooter>
    <oddFooter>&amp;R&amp;12&amp;F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09"/>
  <sheetViews>
    <sheetView showGridLines="0" tabSelected="1" zoomScale="110" zoomScaleNormal="110" zoomScalePageLayoutView="70" workbookViewId="0">
      <pane xSplit="2" ySplit="9" topLeftCell="C82" activePane="bottomRight" state="frozen"/>
      <selection pane="topRight" activeCell="O1" sqref="O1"/>
      <selection pane="bottomLeft" activeCell="A79" sqref="A79"/>
      <selection pane="bottomRight" activeCell="F83" sqref="F83"/>
    </sheetView>
  </sheetViews>
  <sheetFormatPr defaultColWidth="9.140625" defaultRowHeight="15"/>
  <cols>
    <col min="1" max="1" width="10.28515625" style="25" customWidth="1"/>
    <col min="2" max="2" width="49.5703125" style="25" customWidth="1"/>
    <col min="3" max="6" width="12.42578125" style="25" customWidth="1"/>
    <col min="7" max="7" width="12.42578125" style="26" customWidth="1"/>
    <col min="8" max="9" width="18" style="25" customWidth="1"/>
    <col min="10" max="10" width="0.7109375" style="25" customWidth="1"/>
    <col min="11" max="13" width="12.28515625" style="25" customWidth="1"/>
    <col min="14" max="14" width="37.7109375" style="25" customWidth="1"/>
    <col min="15" max="1024" width="9.140625" style="25"/>
  </cols>
  <sheetData>
    <row r="1" spans="1:14">
      <c r="A1" s="28" t="s">
        <v>50</v>
      </c>
      <c r="B1" s="29" t="str">
        <f>+Copertina!F20</f>
        <v xml:space="preserve">AO Civico </v>
      </c>
      <c r="C1" s="26"/>
      <c r="D1" s="26"/>
      <c r="E1" s="26"/>
      <c r="F1" s="26"/>
      <c r="G1" s="30"/>
    </row>
    <row r="2" spans="1:14" ht="15" customHeight="1">
      <c r="A2" s="31" t="str">
        <f>"Piano del Fabbisogno 2023 "&amp;B1</f>
        <v xml:space="preserve">Piano del Fabbisogno 2023 AO Civico </v>
      </c>
      <c r="B2" s="32"/>
      <c r="C2" s="33"/>
      <c r="D2" s="33"/>
      <c r="E2" s="33"/>
      <c r="F2" s="33"/>
      <c r="G2" s="33"/>
      <c r="H2" s="32"/>
      <c r="I2" s="32"/>
      <c r="J2" s="33"/>
      <c r="K2" s="33"/>
      <c r="L2" s="33"/>
      <c r="M2" s="33"/>
      <c r="N2" s="34"/>
    </row>
    <row r="3" spans="1:14" ht="16.5" customHeight="1">
      <c r="A3" s="222" t="s">
        <v>51</v>
      </c>
      <c r="B3" s="39"/>
      <c r="C3" s="39"/>
      <c r="D3" s="39"/>
      <c r="E3" s="39"/>
      <c r="F3" s="39"/>
      <c r="G3" s="39"/>
      <c r="H3" s="39"/>
      <c r="I3" s="39"/>
      <c r="J3" s="39"/>
      <c r="K3" s="37"/>
      <c r="L3" s="37"/>
      <c r="M3" s="37"/>
      <c r="N3" s="224"/>
    </row>
    <row r="4" spans="1:14" ht="87.75" customHeight="1">
      <c r="A4" s="377" t="s">
        <v>52</v>
      </c>
      <c r="B4" s="377"/>
      <c r="C4" s="225" t="s">
        <v>412</v>
      </c>
      <c r="D4" s="41" t="s">
        <v>414</v>
      </c>
      <c r="E4" s="41" t="s">
        <v>415</v>
      </c>
      <c r="F4" s="42" t="s">
        <v>53</v>
      </c>
      <c r="G4" s="226" t="s">
        <v>55</v>
      </c>
      <c r="H4" s="45" t="s">
        <v>56</v>
      </c>
      <c r="I4" s="46" t="s">
        <v>57</v>
      </c>
      <c r="J4" s="47"/>
      <c r="K4" s="252" t="s">
        <v>58</v>
      </c>
      <c r="L4" s="45" t="s">
        <v>59</v>
      </c>
      <c r="M4" s="45" t="s">
        <v>60</v>
      </c>
      <c r="N4" s="48" t="s">
        <v>61</v>
      </c>
    </row>
    <row r="5" spans="1:14" ht="22.5" customHeight="1">
      <c r="A5" s="377"/>
      <c r="B5" s="377"/>
      <c r="C5" s="40" t="s">
        <v>62</v>
      </c>
      <c r="D5" s="50" t="s">
        <v>63</v>
      </c>
      <c r="E5" s="50" t="s">
        <v>64</v>
      </c>
      <c r="F5" s="42" t="s">
        <v>65</v>
      </c>
      <c r="G5" s="51" t="s">
        <v>67</v>
      </c>
      <c r="H5" s="52" t="s">
        <v>68</v>
      </c>
      <c r="I5" s="53" t="s">
        <v>69</v>
      </c>
      <c r="J5" s="54"/>
      <c r="K5" s="52" t="s">
        <v>70</v>
      </c>
      <c r="L5" s="52" t="s">
        <v>71</v>
      </c>
      <c r="M5" s="52" t="s">
        <v>72</v>
      </c>
      <c r="N5" s="55"/>
    </row>
    <row r="6" spans="1:14" s="61" customFormat="1" ht="3" customHeight="1">
      <c r="A6" s="56"/>
      <c r="B6" s="56"/>
      <c r="C6" s="57"/>
      <c r="D6" s="58"/>
      <c r="E6" s="58"/>
      <c r="F6" s="58"/>
      <c r="G6" s="59"/>
      <c r="H6" s="58"/>
      <c r="I6" s="49"/>
      <c r="J6" s="54"/>
      <c r="K6" s="58"/>
      <c r="L6" s="58"/>
      <c r="M6" s="58"/>
      <c r="N6" s="55"/>
    </row>
    <row r="7" spans="1:14" ht="15" customHeight="1">
      <c r="A7" s="369" t="s">
        <v>73</v>
      </c>
      <c r="B7" s="369"/>
      <c r="C7" s="62">
        <f>+C9+'Altri profili_2026'!C6</f>
        <v>2895</v>
      </c>
      <c r="D7" s="63">
        <f>+D9+'Altri profili_2026'!D6</f>
        <v>171</v>
      </c>
      <c r="E7" s="63">
        <f>+E9+'Altri profili_2026'!E6</f>
        <v>3066</v>
      </c>
      <c r="F7" s="150">
        <f>+F9+'Altri profili_2026'!F6</f>
        <v>179062</v>
      </c>
      <c r="G7" s="62">
        <f>+G9+'Altri profili_2026'!G6</f>
        <v>0</v>
      </c>
      <c r="H7" s="63">
        <f>+H9+'Altri profili_2026'!H6</f>
        <v>0</v>
      </c>
      <c r="I7" s="64">
        <f>+I9+'Altri profili_2026'!I6</f>
        <v>0</v>
      </c>
      <c r="J7" s="58"/>
      <c r="K7" s="66">
        <f>+K9+'Altri profili_2024_'!K6</f>
        <v>0</v>
      </c>
      <c r="L7" s="67"/>
      <c r="M7" s="67"/>
      <c r="N7" s="227"/>
    </row>
    <row r="8" spans="1:14" s="61" customFormat="1" ht="3" customHeight="1">
      <c r="A8" s="56"/>
      <c r="B8" s="56"/>
      <c r="C8" s="253"/>
      <c r="D8" s="58"/>
      <c r="E8" s="58"/>
      <c r="F8" s="58"/>
      <c r="G8" s="69"/>
      <c r="H8" s="58"/>
      <c r="I8" s="49"/>
      <c r="J8" s="58"/>
      <c r="K8" s="49"/>
      <c r="L8" s="72"/>
      <c r="M8" s="72"/>
      <c r="N8" s="229"/>
    </row>
    <row r="9" spans="1:14" ht="15" customHeight="1">
      <c r="A9" s="370" t="s">
        <v>74</v>
      </c>
      <c r="B9" s="370"/>
      <c r="C9" s="62">
        <f t="shared" ref="C9:I9" si="0">+SUM(C10:C79)</f>
        <v>699</v>
      </c>
      <c r="D9" s="63">
        <f t="shared" si="0"/>
        <v>70</v>
      </c>
      <c r="E9" s="63">
        <f t="shared" si="0"/>
        <v>769</v>
      </c>
      <c r="F9" s="150">
        <f t="shared" si="0"/>
        <v>77669</v>
      </c>
      <c r="G9" s="76">
        <f t="shared" si="0"/>
        <v>0</v>
      </c>
      <c r="H9" s="63">
        <f t="shared" si="0"/>
        <v>0</v>
      </c>
      <c r="I9" s="64">
        <f t="shared" si="0"/>
        <v>0</v>
      </c>
      <c r="J9" s="77"/>
      <c r="K9" s="66">
        <f>+SUM(K10:K79)</f>
        <v>0</v>
      </c>
      <c r="L9" s="78"/>
      <c r="M9" s="78"/>
      <c r="N9" s="227"/>
    </row>
    <row r="10" spans="1:14" s="93" customFormat="1" ht="11.25">
      <c r="A10" s="80" t="s">
        <v>75</v>
      </c>
      <c r="B10" s="81" t="s">
        <v>76</v>
      </c>
      <c r="C10" s="230">
        <f>+Medici_2025!E10</f>
        <v>2</v>
      </c>
      <c r="D10" s="83">
        <v>1</v>
      </c>
      <c r="E10" s="231">
        <f t="shared" ref="E10:E41" si="1">+D10+C10</f>
        <v>3</v>
      </c>
      <c r="F10" s="235">
        <f>101*E10</f>
        <v>303</v>
      </c>
      <c r="G10" s="86"/>
      <c r="H10" s="83"/>
      <c r="I10" s="87">
        <f t="shared" ref="I10:I41" si="2">+G10-H10</f>
        <v>0</v>
      </c>
      <c r="J10" s="88"/>
      <c r="K10" s="89"/>
      <c r="L10" s="90"/>
      <c r="M10" s="91"/>
      <c r="N10" s="85"/>
    </row>
    <row r="11" spans="1:14" s="93" customFormat="1" ht="11.25">
      <c r="A11" s="94" t="s">
        <v>77</v>
      </c>
      <c r="B11" s="95" t="s">
        <v>78</v>
      </c>
      <c r="C11" s="233">
        <f>+Medici_2025!E11</f>
        <v>0</v>
      </c>
      <c r="D11" s="97"/>
      <c r="E11" s="234">
        <f t="shared" si="1"/>
        <v>0</v>
      </c>
      <c r="F11" s="235"/>
      <c r="G11" s="99"/>
      <c r="H11" s="97"/>
      <c r="I11" s="100">
        <f t="shared" si="2"/>
        <v>0</v>
      </c>
      <c r="J11" s="88"/>
      <c r="K11" s="101"/>
      <c r="L11" s="102"/>
      <c r="M11" s="103"/>
      <c r="N11" s="98"/>
    </row>
    <row r="12" spans="1:14" s="93" customFormat="1" ht="11.25">
      <c r="A12" s="94" t="s">
        <v>79</v>
      </c>
      <c r="B12" s="95" t="s">
        <v>80</v>
      </c>
      <c r="C12" s="233">
        <f>+Medici_2025!E12</f>
        <v>43</v>
      </c>
      <c r="D12" s="97"/>
      <c r="E12" s="234">
        <f t="shared" si="1"/>
        <v>43</v>
      </c>
      <c r="F12" s="235">
        <f>101*E12</f>
        <v>4343</v>
      </c>
      <c r="G12" s="99">
        <v>0</v>
      </c>
      <c r="H12" s="97">
        <v>0</v>
      </c>
      <c r="I12" s="100">
        <f t="shared" si="2"/>
        <v>0</v>
      </c>
      <c r="J12" s="88"/>
      <c r="K12" s="101"/>
      <c r="L12" s="102"/>
      <c r="M12" s="103"/>
      <c r="N12" s="98"/>
    </row>
    <row r="13" spans="1:14" s="93" customFormat="1" ht="11.25">
      <c r="A13" s="94" t="s">
        <v>81</v>
      </c>
      <c r="B13" s="95" t="s">
        <v>82</v>
      </c>
      <c r="C13" s="233">
        <f>+Medici_2025!E13</f>
        <v>2</v>
      </c>
      <c r="D13" s="97">
        <v>1</v>
      </c>
      <c r="E13" s="234">
        <f t="shared" si="1"/>
        <v>3</v>
      </c>
      <c r="F13" s="235">
        <f>101*E13</f>
        <v>303</v>
      </c>
      <c r="G13" s="99">
        <v>0</v>
      </c>
      <c r="H13" s="97">
        <v>0</v>
      </c>
      <c r="I13" s="100">
        <f t="shared" si="2"/>
        <v>0</v>
      </c>
      <c r="J13" s="104"/>
      <c r="K13" s="101"/>
      <c r="L13" s="102"/>
      <c r="M13" s="103"/>
      <c r="N13" s="98"/>
    </row>
    <row r="14" spans="1:14" s="93" customFormat="1" ht="11.25">
      <c r="A14" s="94" t="s">
        <v>83</v>
      </c>
      <c r="B14" s="95" t="s">
        <v>84</v>
      </c>
      <c r="C14" s="233">
        <f>+Medici_2025!E14</f>
        <v>19</v>
      </c>
      <c r="D14" s="97"/>
      <c r="E14" s="234">
        <f t="shared" si="1"/>
        <v>19</v>
      </c>
      <c r="F14" s="235">
        <f>101*E14</f>
        <v>1919</v>
      </c>
      <c r="G14" s="99"/>
      <c r="H14" s="97">
        <v>0</v>
      </c>
      <c r="I14" s="100">
        <f t="shared" si="2"/>
        <v>0</v>
      </c>
      <c r="J14" s="104"/>
      <c r="K14" s="101"/>
      <c r="L14" s="102"/>
      <c r="M14" s="103"/>
      <c r="N14" s="98"/>
    </row>
    <row r="15" spans="1:14" s="93" customFormat="1" ht="11.25">
      <c r="A15" s="94" t="s">
        <v>85</v>
      </c>
      <c r="B15" s="95" t="s">
        <v>86</v>
      </c>
      <c r="C15" s="233">
        <f>+Medici_2025!E15</f>
        <v>0</v>
      </c>
      <c r="D15" s="97"/>
      <c r="E15" s="234">
        <f t="shared" si="1"/>
        <v>0</v>
      </c>
      <c r="F15" s="235"/>
      <c r="G15" s="99"/>
      <c r="H15" s="97"/>
      <c r="I15" s="100">
        <f t="shared" si="2"/>
        <v>0</v>
      </c>
      <c r="J15" s="104"/>
      <c r="K15" s="101"/>
      <c r="L15" s="102"/>
      <c r="M15" s="103"/>
      <c r="N15" s="98"/>
    </row>
    <row r="16" spans="1:14" s="93" customFormat="1" ht="11.25">
      <c r="A16" s="94" t="s">
        <v>87</v>
      </c>
      <c r="B16" s="95" t="s">
        <v>88</v>
      </c>
      <c r="C16" s="233">
        <f>+Medici_2025!E16</f>
        <v>10</v>
      </c>
      <c r="D16" s="97"/>
      <c r="E16" s="234">
        <f t="shared" si="1"/>
        <v>10</v>
      </c>
      <c r="F16" s="235">
        <f>101*E16</f>
        <v>1010</v>
      </c>
      <c r="G16" s="99">
        <v>0</v>
      </c>
      <c r="H16" s="97">
        <v>0</v>
      </c>
      <c r="I16" s="100">
        <f t="shared" si="2"/>
        <v>0</v>
      </c>
      <c r="J16" s="104"/>
      <c r="K16" s="101"/>
      <c r="L16" s="102"/>
      <c r="M16" s="103"/>
      <c r="N16" s="98"/>
    </row>
    <row r="17" spans="1:14" s="93" customFormat="1" ht="11.25">
      <c r="A17" s="94" t="s">
        <v>89</v>
      </c>
      <c r="B17" s="95" t="s">
        <v>90</v>
      </c>
      <c r="C17" s="233">
        <f>+Medici_2025!E17</f>
        <v>0</v>
      </c>
      <c r="D17" s="97"/>
      <c r="E17" s="234">
        <f t="shared" si="1"/>
        <v>0</v>
      </c>
      <c r="F17" s="235"/>
      <c r="G17" s="99"/>
      <c r="H17" s="97"/>
      <c r="I17" s="100">
        <f t="shared" si="2"/>
        <v>0</v>
      </c>
      <c r="J17" s="104"/>
      <c r="K17" s="101"/>
      <c r="L17" s="102"/>
      <c r="M17" s="103"/>
      <c r="N17" s="98"/>
    </row>
    <row r="18" spans="1:14" s="93" customFormat="1" ht="11.25">
      <c r="A18" s="94" t="s">
        <v>91</v>
      </c>
      <c r="B18" s="95" t="s">
        <v>92</v>
      </c>
      <c r="C18" s="233">
        <f>+Medici_2025!E18</f>
        <v>0</v>
      </c>
      <c r="D18" s="97"/>
      <c r="E18" s="234">
        <f t="shared" si="1"/>
        <v>0</v>
      </c>
      <c r="F18" s="235"/>
      <c r="G18" s="99"/>
      <c r="H18" s="97"/>
      <c r="I18" s="100">
        <f t="shared" si="2"/>
        <v>0</v>
      </c>
      <c r="J18" s="104"/>
      <c r="K18" s="101"/>
      <c r="L18" s="102"/>
      <c r="M18" s="103"/>
      <c r="N18" s="98"/>
    </row>
    <row r="19" spans="1:14" s="93" customFormat="1" ht="11.25">
      <c r="A19" s="94" t="s">
        <v>93</v>
      </c>
      <c r="B19" s="95" t="s">
        <v>94</v>
      </c>
      <c r="C19" s="233">
        <f>+Medici_2025!E19</f>
        <v>0</v>
      </c>
      <c r="D19" s="97"/>
      <c r="E19" s="234">
        <f t="shared" si="1"/>
        <v>0</v>
      </c>
      <c r="F19" s="235"/>
      <c r="G19" s="99"/>
      <c r="H19" s="97"/>
      <c r="I19" s="100">
        <f t="shared" si="2"/>
        <v>0</v>
      </c>
      <c r="J19" s="104"/>
      <c r="K19" s="101"/>
      <c r="L19" s="102"/>
      <c r="M19" s="103"/>
      <c r="N19" s="98"/>
    </row>
    <row r="20" spans="1:14" s="93" customFormat="1" ht="11.25">
      <c r="A20" s="94" t="s">
        <v>95</v>
      </c>
      <c r="B20" s="95" t="s">
        <v>96</v>
      </c>
      <c r="C20" s="233">
        <f>+Medici_2025!E20</f>
        <v>24</v>
      </c>
      <c r="D20" s="97">
        <v>0</v>
      </c>
      <c r="E20" s="234">
        <f t="shared" si="1"/>
        <v>24</v>
      </c>
      <c r="F20" s="235">
        <f>+E20*101</f>
        <v>2424</v>
      </c>
      <c r="G20" s="99">
        <v>0</v>
      </c>
      <c r="H20" s="97">
        <v>0</v>
      </c>
      <c r="I20" s="100">
        <f t="shared" si="2"/>
        <v>0</v>
      </c>
      <c r="J20" s="104"/>
      <c r="K20" s="101"/>
      <c r="L20" s="102"/>
      <c r="M20" s="103"/>
      <c r="N20" s="98"/>
    </row>
    <row r="21" spans="1:14" s="93" customFormat="1" ht="11.25">
      <c r="A21" s="94" t="s">
        <v>97</v>
      </c>
      <c r="B21" s="95" t="s">
        <v>98</v>
      </c>
      <c r="C21" s="233">
        <f>+Medici_2025!E21</f>
        <v>24</v>
      </c>
      <c r="D21" s="97"/>
      <c r="E21" s="234">
        <f t="shared" si="1"/>
        <v>24</v>
      </c>
      <c r="F21" s="235">
        <f>+E21*101</f>
        <v>2424</v>
      </c>
      <c r="G21" s="99">
        <v>0</v>
      </c>
      <c r="H21" s="97">
        <v>0</v>
      </c>
      <c r="I21" s="100">
        <f t="shared" si="2"/>
        <v>0</v>
      </c>
      <c r="J21" s="104"/>
      <c r="K21" s="101"/>
      <c r="L21" s="102"/>
      <c r="M21" s="103"/>
      <c r="N21" s="98"/>
    </row>
    <row r="22" spans="1:14" s="93" customFormat="1" ht="11.25">
      <c r="A22" s="94" t="s">
        <v>99</v>
      </c>
      <c r="B22" s="95" t="s">
        <v>100</v>
      </c>
      <c r="C22" s="233">
        <f>+Medici_2025!E22</f>
        <v>36</v>
      </c>
      <c r="D22" s="97"/>
      <c r="E22" s="234">
        <f t="shared" si="1"/>
        <v>36</v>
      </c>
      <c r="F22" s="235">
        <f>101*E22</f>
        <v>3636</v>
      </c>
      <c r="G22" s="99">
        <v>0</v>
      </c>
      <c r="H22" s="97">
        <v>0</v>
      </c>
      <c r="I22" s="100">
        <f t="shared" si="2"/>
        <v>0</v>
      </c>
      <c r="J22" s="104"/>
      <c r="K22" s="101"/>
      <c r="L22" s="102"/>
      <c r="M22" s="103"/>
      <c r="N22" s="98"/>
    </row>
    <row r="23" spans="1:14" s="93" customFormat="1" ht="11.25">
      <c r="A23" s="94" t="s">
        <v>101</v>
      </c>
      <c r="B23" s="95" t="s">
        <v>102</v>
      </c>
      <c r="C23" s="233">
        <f>+Medici_2025!E23</f>
        <v>0</v>
      </c>
      <c r="D23" s="97">
        <v>3</v>
      </c>
      <c r="E23" s="234">
        <f t="shared" si="1"/>
        <v>3</v>
      </c>
      <c r="F23" s="235">
        <f>101*E23</f>
        <v>303</v>
      </c>
      <c r="G23" s="99"/>
      <c r="H23" s="97"/>
      <c r="I23" s="100">
        <f t="shared" si="2"/>
        <v>0</v>
      </c>
      <c r="J23" s="104"/>
      <c r="K23" s="101"/>
      <c r="L23" s="102"/>
      <c r="M23" s="103"/>
      <c r="N23" s="98"/>
    </row>
    <row r="24" spans="1:14" s="93" customFormat="1" ht="11.25">
      <c r="A24" s="94" t="s">
        <v>103</v>
      </c>
      <c r="B24" s="95" t="s">
        <v>104</v>
      </c>
      <c r="C24" s="233">
        <f>+Medici_2025!E24</f>
        <v>40</v>
      </c>
      <c r="D24" s="97"/>
      <c r="E24" s="234">
        <f t="shared" si="1"/>
        <v>40</v>
      </c>
      <c r="F24" s="235">
        <f>101*E24</f>
        <v>4040</v>
      </c>
      <c r="G24" s="99">
        <v>0</v>
      </c>
      <c r="H24" s="97">
        <v>0</v>
      </c>
      <c r="I24" s="100">
        <f t="shared" si="2"/>
        <v>0</v>
      </c>
      <c r="J24" s="104"/>
      <c r="K24" s="101"/>
      <c r="L24" s="102"/>
      <c r="M24" s="103"/>
      <c r="N24" s="98"/>
    </row>
    <row r="25" spans="1:14" s="93" customFormat="1" ht="11.25">
      <c r="A25" s="94" t="s">
        <v>105</v>
      </c>
      <c r="B25" s="95" t="s">
        <v>106</v>
      </c>
      <c r="C25" s="233">
        <f>+Medici_2025!E25</f>
        <v>0</v>
      </c>
      <c r="D25" s="97"/>
      <c r="E25" s="234">
        <f t="shared" si="1"/>
        <v>0</v>
      </c>
      <c r="F25" s="235"/>
      <c r="G25" s="99"/>
      <c r="H25" s="97"/>
      <c r="I25" s="100">
        <f t="shared" si="2"/>
        <v>0</v>
      </c>
      <c r="J25" s="104"/>
      <c r="K25" s="101"/>
      <c r="L25" s="102"/>
      <c r="M25" s="103"/>
      <c r="N25" s="98"/>
    </row>
    <row r="26" spans="1:14" s="93" customFormat="1" ht="11.25">
      <c r="A26" s="94" t="s">
        <v>107</v>
      </c>
      <c r="B26" s="95" t="s">
        <v>108</v>
      </c>
      <c r="C26" s="233">
        <f>+Medici_2025!E26</f>
        <v>21</v>
      </c>
      <c r="D26" s="97"/>
      <c r="E26" s="234">
        <f t="shared" si="1"/>
        <v>21</v>
      </c>
      <c r="F26" s="235">
        <f t="shared" ref="F26:F31" si="3">101*E26</f>
        <v>2121</v>
      </c>
      <c r="G26" s="99">
        <v>0</v>
      </c>
      <c r="H26" s="97">
        <v>0</v>
      </c>
      <c r="I26" s="100">
        <f t="shared" si="2"/>
        <v>0</v>
      </c>
      <c r="J26" s="104"/>
      <c r="K26" s="101"/>
      <c r="L26" s="102"/>
      <c r="M26" s="103"/>
      <c r="N26" s="98"/>
    </row>
    <row r="27" spans="1:14" s="93" customFormat="1" ht="11.25">
      <c r="A27" s="94" t="s">
        <v>109</v>
      </c>
      <c r="B27" s="95" t="s">
        <v>110</v>
      </c>
      <c r="C27" s="233">
        <f>+Medici_2025!E27</f>
        <v>15</v>
      </c>
      <c r="D27" s="97"/>
      <c r="E27" s="234">
        <f t="shared" si="1"/>
        <v>15</v>
      </c>
      <c r="F27" s="235">
        <f t="shared" si="3"/>
        <v>1515</v>
      </c>
      <c r="G27" s="99">
        <v>0</v>
      </c>
      <c r="H27" s="97">
        <v>0</v>
      </c>
      <c r="I27" s="100">
        <f t="shared" si="2"/>
        <v>0</v>
      </c>
      <c r="J27" s="104"/>
      <c r="K27" s="101"/>
      <c r="L27" s="102"/>
      <c r="M27" s="103"/>
      <c r="N27" s="98"/>
    </row>
    <row r="28" spans="1:14" s="93" customFormat="1" ht="11.25">
      <c r="A28" s="94" t="s">
        <v>111</v>
      </c>
      <c r="B28" s="95" t="s">
        <v>112</v>
      </c>
      <c r="C28" s="233">
        <f>+Medici_2025!E28</f>
        <v>13</v>
      </c>
      <c r="D28" s="97"/>
      <c r="E28" s="234">
        <f t="shared" si="1"/>
        <v>13</v>
      </c>
      <c r="F28" s="235">
        <f t="shared" si="3"/>
        <v>1313</v>
      </c>
      <c r="G28" s="99">
        <v>0</v>
      </c>
      <c r="H28" s="97">
        <v>0</v>
      </c>
      <c r="I28" s="100">
        <f t="shared" si="2"/>
        <v>0</v>
      </c>
      <c r="J28" s="104"/>
      <c r="K28" s="101"/>
      <c r="L28" s="102"/>
      <c r="M28" s="103"/>
      <c r="N28" s="98"/>
    </row>
    <row r="29" spans="1:14" s="93" customFormat="1" ht="11.25">
      <c r="A29" s="94" t="s">
        <v>113</v>
      </c>
      <c r="B29" s="95" t="s">
        <v>114</v>
      </c>
      <c r="C29" s="233">
        <f>+Medici_2025!E29</f>
        <v>4</v>
      </c>
      <c r="D29" s="97">
        <v>5</v>
      </c>
      <c r="E29" s="234">
        <f t="shared" si="1"/>
        <v>9</v>
      </c>
      <c r="F29" s="235">
        <f t="shared" si="3"/>
        <v>909</v>
      </c>
      <c r="G29" s="99">
        <v>0</v>
      </c>
      <c r="H29" s="97">
        <v>0</v>
      </c>
      <c r="I29" s="100">
        <f t="shared" si="2"/>
        <v>0</v>
      </c>
      <c r="J29" s="104"/>
      <c r="K29" s="101"/>
      <c r="L29" s="102"/>
      <c r="M29" s="103"/>
      <c r="N29" s="98"/>
    </row>
    <row r="30" spans="1:14" s="93" customFormat="1" ht="11.25">
      <c r="A30" s="94" t="s">
        <v>115</v>
      </c>
      <c r="B30" s="95" t="s">
        <v>116</v>
      </c>
      <c r="C30" s="233">
        <f>+Medici_2025!E30</f>
        <v>13</v>
      </c>
      <c r="D30" s="97">
        <v>5</v>
      </c>
      <c r="E30" s="234">
        <f t="shared" si="1"/>
        <v>18</v>
      </c>
      <c r="F30" s="235">
        <f t="shared" si="3"/>
        <v>1818</v>
      </c>
      <c r="G30" s="99">
        <v>0</v>
      </c>
      <c r="H30" s="97">
        <v>0</v>
      </c>
      <c r="I30" s="100">
        <f t="shared" si="2"/>
        <v>0</v>
      </c>
      <c r="J30" s="104"/>
      <c r="K30" s="101"/>
      <c r="L30" s="102"/>
      <c r="M30" s="103"/>
      <c r="N30" s="98"/>
    </row>
    <row r="31" spans="1:14" s="93" customFormat="1" ht="11.25">
      <c r="A31" s="94" t="s">
        <v>117</v>
      </c>
      <c r="B31" s="95" t="s">
        <v>118</v>
      </c>
      <c r="C31" s="233">
        <f>+Medici_2025!E31</f>
        <v>50</v>
      </c>
      <c r="D31" s="97">
        <v>5</v>
      </c>
      <c r="E31" s="234">
        <f t="shared" si="1"/>
        <v>55</v>
      </c>
      <c r="F31" s="235">
        <f t="shared" si="3"/>
        <v>5555</v>
      </c>
      <c r="G31" s="99">
        <v>0</v>
      </c>
      <c r="H31" s="97">
        <v>0</v>
      </c>
      <c r="I31" s="100">
        <f t="shared" si="2"/>
        <v>0</v>
      </c>
      <c r="J31" s="104"/>
      <c r="K31" s="101"/>
      <c r="L31" s="102"/>
      <c r="M31" s="103"/>
      <c r="N31" s="98"/>
    </row>
    <row r="32" spans="1:14" s="93" customFormat="1" ht="11.25">
      <c r="A32" s="94" t="s">
        <v>119</v>
      </c>
      <c r="B32" s="95" t="s">
        <v>120</v>
      </c>
      <c r="C32" s="233">
        <f>+Medici_2025!E32</f>
        <v>0</v>
      </c>
      <c r="D32" s="97"/>
      <c r="E32" s="234">
        <f t="shared" si="1"/>
        <v>0</v>
      </c>
      <c r="F32" s="235"/>
      <c r="G32" s="99"/>
      <c r="H32" s="97"/>
      <c r="I32" s="100">
        <f t="shared" si="2"/>
        <v>0</v>
      </c>
      <c r="J32" s="104"/>
      <c r="K32" s="101"/>
      <c r="L32" s="102"/>
      <c r="M32" s="103"/>
      <c r="N32" s="98"/>
    </row>
    <row r="33" spans="1:14" s="93" customFormat="1" ht="11.25">
      <c r="A33" s="94" t="s">
        <v>121</v>
      </c>
      <c r="B33" s="95" t="s">
        <v>122</v>
      </c>
      <c r="C33" s="233">
        <f>+Medici_2025!E33</f>
        <v>8</v>
      </c>
      <c r="D33" s="97"/>
      <c r="E33" s="234">
        <f t="shared" si="1"/>
        <v>8</v>
      </c>
      <c r="F33" s="235">
        <f>101*E33</f>
        <v>808</v>
      </c>
      <c r="G33" s="99">
        <v>0</v>
      </c>
      <c r="H33" s="97">
        <v>0</v>
      </c>
      <c r="I33" s="100">
        <f t="shared" si="2"/>
        <v>0</v>
      </c>
      <c r="J33" s="104"/>
      <c r="K33" s="101"/>
      <c r="L33" s="102"/>
      <c r="M33" s="103"/>
      <c r="N33" s="98"/>
    </row>
    <row r="34" spans="1:14" s="93" customFormat="1" ht="11.25">
      <c r="A34" s="94" t="s">
        <v>123</v>
      </c>
      <c r="B34" s="95" t="s">
        <v>124</v>
      </c>
      <c r="C34" s="233">
        <f>+Medici_2025!E34</f>
        <v>2</v>
      </c>
      <c r="D34" s="97">
        <v>1</v>
      </c>
      <c r="E34" s="234">
        <f t="shared" si="1"/>
        <v>3</v>
      </c>
      <c r="F34" s="235">
        <f>101*E34</f>
        <v>303</v>
      </c>
      <c r="G34" s="99"/>
      <c r="H34" s="97"/>
      <c r="I34" s="100">
        <f t="shared" si="2"/>
        <v>0</v>
      </c>
      <c r="J34" s="104"/>
      <c r="K34" s="101"/>
      <c r="L34" s="102"/>
      <c r="M34" s="103"/>
      <c r="N34" s="98"/>
    </row>
    <row r="35" spans="1:14" s="93" customFormat="1" ht="11.25">
      <c r="A35" s="94" t="s">
        <v>125</v>
      </c>
      <c r="B35" s="95" t="s">
        <v>126</v>
      </c>
      <c r="C35" s="233">
        <f>+Medici_2025!E35</f>
        <v>0</v>
      </c>
      <c r="D35" s="97">
        <v>9</v>
      </c>
      <c r="E35" s="234">
        <f t="shared" si="1"/>
        <v>9</v>
      </c>
      <c r="F35" s="235">
        <f t="shared" ref="F35:F44" si="4">101*E35</f>
        <v>909</v>
      </c>
      <c r="G35" s="99">
        <v>0</v>
      </c>
      <c r="H35" s="97">
        <v>0</v>
      </c>
      <c r="I35" s="100">
        <f t="shared" si="2"/>
        <v>0</v>
      </c>
      <c r="J35" s="104"/>
      <c r="K35" s="101"/>
      <c r="L35" s="102"/>
      <c r="M35" s="103"/>
      <c r="N35" s="98"/>
    </row>
    <row r="36" spans="1:14" s="93" customFormat="1" ht="11.25">
      <c r="A36" s="94" t="s">
        <v>127</v>
      </c>
      <c r="B36" s="95" t="s">
        <v>128</v>
      </c>
      <c r="C36" s="233">
        <f>+Medici_2025!E36</f>
        <v>25</v>
      </c>
      <c r="D36" s="97">
        <v>5</v>
      </c>
      <c r="E36" s="234">
        <f t="shared" si="1"/>
        <v>30</v>
      </c>
      <c r="F36" s="235">
        <f t="shared" si="4"/>
        <v>3030</v>
      </c>
      <c r="G36" s="99">
        <v>0</v>
      </c>
      <c r="H36" s="97">
        <v>0</v>
      </c>
      <c r="I36" s="100">
        <f t="shared" si="2"/>
        <v>0</v>
      </c>
      <c r="J36" s="104"/>
      <c r="K36" s="101"/>
      <c r="L36" s="102"/>
      <c r="M36" s="103"/>
      <c r="N36" s="98"/>
    </row>
    <row r="37" spans="1:14" s="93" customFormat="1" ht="11.25">
      <c r="A37" s="94" t="s">
        <v>129</v>
      </c>
      <c r="B37" s="95" t="s">
        <v>130</v>
      </c>
      <c r="C37" s="233">
        <f>+Medici_2025!E37</f>
        <v>7</v>
      </c>
      <c r="D37" s="97">
        <v>2</v>
      </c>
      <c r="E37" s="234">
        <f t="shared" si="1"/>
        <v>9</v>
      </c>
      <c r="F37" s="235">
        <f t="shared" si="4"/>
        <v>909</v>
      </c>
      <c r="G37" s="99">
        <v>0</v>
      </c>
      <c r="H37" s="97">
        <v>0</v>
      </c>
      <c r="I37" s="100">
        <f t="shared" si="2"/>
        <v>0</v>
      </c>
      <c r="J37" s="104"/>
      <c r="K37" s="101"/>
      <c r="L37" s="102"/>
      <c r="M37" s="103"/>
      <c r="N37" s="98"/>
    </row>
    <row r="38" spans="1:14" s="93" customFormat="1" ht="11.25">
      <c r="A38" s="94" t="s">
        <v>131</v>
      </c>
      <c r="B38" s="95" t="s">
        <v>132</v>
      </c>
      <c r="C38" s="233">
        <f>+Medici_2025!E38</f>
        <v>11</v>
      </c>
      <c r="D38" s="97"/>
      <c r="E38" s="234">
        <f t="shared" si="1"/>
        <v>11</v>
      </c>
      <c r="F38" s="235">
        <f t="shared" si="4"/>
        <v>1111</v>
      </c>
      <c r="G38" s="99">
        <v>0</v>
      </c>
      <c r="H38" s="97">
        <v>0</v>
      </c>
      <c r="I38" s="100">
        <f t="shared" si="2"/>
        <v>0</v>
      </c>
      <c r="J38" s="104"/>
      <c r="K38" s="101"/>
      <c r="L38" s="102"/>
      <c r="M38" s="103"/>
      <c r="N38" s="98"/>
    </row>
    <row r="39" spans="1:14" s="93" customFormat="1" ht="11.25">
      <c r="A39" s="94" t="s">
        <v>133</v>
      </c>
      <c r="B39" s="95" t="s">
        <v>134</v>
      </c>
      <c r="C39" s="233">
        <f>+Medici_2025!E39</f>
        <v>14</v>
      </c>
      <c r="D39" s="97">
        <v>7</v>
      </c>
      <c r="E39" s="234">
        <f t="shared" si="1"/>
        <v>21</v>
      </c>
      <c r="F39" s="235">
        <f t="shared" si="4"/>
        <v>2121</v>
      </c>
      <c r="G39" s="99">
        <v>0</v>
      </c>
      <c r="H39" s="97">
        <v>0</v>
      </c>
      <c r="I39" s="100">
        <f t="shared" si="2"/>
        <v>0</v>
      </c>
      <c r="J39" s="104"/>
      <c r="K39" s="101"/>
      <c r="L39" s="102"/>
      <c r="M39" s="103"/>
      <c r="N39" s="98"/>
    </row>
    <row r="40" spans="1:14" s="93" customFormat="1" ht="11.25">
      <c r="A40" s="94" t="s">
        <v>135</v>
      </c>
      <c r="B40" s="95" t="s">
        <v>136</v>
      </c>
      <c r="C40" s="233">
        <f>+Medici_2025!E40</f>
        <v>7</v>
      </c>
      <c r="D40" s="97">
        <v>2</v>
      </c>
      <c r="E40" s="234">
        <f t="shared" si="1"/>
        <v>9</v>
      </c>
      <c r="F40" s="235">
        <f t="shared" si="4"/>
        <v>909</v>
      </c>
      <c r="G40" s="99">
        <v>0</v>
      </c>
      <c r="H40" s="97">
        <v>0</v>
      </c>
      <c r="I40" s="100">
        <f t="shared" si="2"/>
        <v>0</v>
      </c>
      <c r="J40" s="104"/>
      <c r="K40" s="101"/>
      <c r="L40" s="102"/>
      <c r="M40" s="103"/>
      <c r="N40" s="98"/>
    </row>
    <row r="41" spans="1:14" s="93" customFormat="1" ht="11.25">
      <c r="A41" s="94" t="s">
        <v>137</v>
      </c>
      <c r="B41" s="95" t="s">
        <v>138</v>
      </c>
      <c r="C41" s="233">
        <f>+Medici_2025!E41</f>
        <v>12</v>
      </c>
      <c r="D41" s="97">
        <v>1</v>
      </c>
      <c r="E41" s="234">
        <f t="shared" si="1"/>
        <v>13</v>
      </c>
      <c r="F41" s="235">
        <f t="shared" si="4"/>
        <v>1313</v>
      </c>
      <c r="G41" s="99">
        <v>0</v>
      </c>
      <c r="H41" s="97">
        <v>0</v>
      </c>
      <c r="I41" s="100">
        <f t="shared" si="2"/>
        <v>0</v>
      </c>
      <c r="J41" s="104"/>
      <c r="K41" s="101"/>
      <c r="L41" s="102"/>
      <c r="M41" s="103"/>
      <c r="N41" s="98"/>
    </row>
    <row r="42" spans="1:14" s="93" customFormat="1" ht="11.25">
      <c r="A42" s="94" t="s">
        <v>139</v>
      </c>
      <c r="B42" s="95" t="s">
        <v>140</v>
      </c>
      <c r="C42" s="233">
        <f>+Medici_2025!E42</f>
        <v>28</v>
      </c>
      <c r="D42" s="97">
        <v>2</v>
      </c>
      <c r="E42" s="234">
        <f t="shared" ref="E42:E73" si="5">+D42+C42</f>
        <v>30</v>
      </c>
      <c r="F42" s="235">
        <f t="shared" si="4"/>
        <v>3030</v>
      </c>
      <c r="G42" s="99">
        <v>0</v>
      </c>
      <c r="H42" s="97">
        <v>0</v>
      </c>
      <c r="I42" s="100">
        <f t="shared" ref="I42:I73" si="6">+G42-H42</f>
        <v>0</v>
      </c>
      <c r="J42" s="104"/>
      <c r="K42" s="101"/>
      <c r="L42" s="102"/>
      <c r="M42" s="103"/>
      <c r="N42" s="98"/>
    </row>
    <row r="43" spans="1:14" s="93" customFormat="1" ht="11.25">
      <c r="A43" s="94" t="s">
        <v>141</v>
      </c>
      <c r="B43" s="95" t="s">
        <v>142</v>
      </c>
      <c r="C43" s="233">
        <f>+Medici_2025!E43</f>
        <v>16</v>
      </c>
      <c r="D43" s="97"/>
      <c r="E43" s="234">
        <f t="shared" si="5"/>
        <v>16</v>
      </c>
      <c r="F43" s="235">
        <f t="shared" si="4"/>
        <v>1616</v>
      </c>
      <c r="G43" s="99">
        <v>0</v>
      </c>
      <c r="H43" s="97">
        <v>0</v>
      </c>
      <c r="I43" s="100">
        <f t="shared" si="6"/>
        <v>0</v>
      </c>
      <c r="J43" s="104"/>
      <c r="K43" s="101"/>
      <c r="L43" s="102"/>
      <c r="M43" s="103"/>
      <c r="N43" s="98"/>
    </row>
    <row r="44" spans="1:14" s="93" customFormat="1" ht="11.25">
      <c r="A44" s="94" t="s">
        <v>143</v>
      </c>
      <c r="B44" s="95" t="s">
        <v>144</v>
      </c>
      <c r="C44" s="233">
        <f>+Medici_2025!E44</f>
        <v>9</v>
      </c>
      <c r="D44" s="97"/>
      <c r="E44" s="234">
        <f t="shared" si="5"/>
        <v>9</v>
      </c>
      <c r="F44" s="235">
        <f t="shared" si="4"/>
        <v>909</v>
      </c>
      <c r="G44" s="99">
        <v>0</v>
      </c>
      <c r="H44" s="97">
        <v>0</v>
      </c>
      <c r="I44" s="100">
        <f t="shared" si="6"/>
        <v>0</v>
      </c>
      <c r="J44" s="104"/>
      <c r="K44" s="101"/>
      <c r="L44" s="102"/>
      <c r="M44" s="103"/>
      <c r="N44" s="98"/>
    </row>
    <row r="45" spans="1:14" s="93" customFormat="1" ht="11.25">
      <c r="A45" s="94" t="s">
        <v>145</v>
      </c>
      <c r="B45" s="95" t="s">
        <v>146</v>
      </c>
      <c r="C45" s="233">
        <f>+Medici_2025!E45</f>
        <v>16</v>
      </c>
      <c r="D45" s="97"/>
      <c r="E45" s="234">
        <f t="shared" si="5"/>
        <v>16</v>
      </c>
      <c r="F45" s="235">
        <f>+E45*101</f>
        <v>1616</v>
      </c>
      <c r="G45" s="99">
        <v>0</v>
      </c>
      <c r="H45" s="97">
        <v>0</v>
      </c>
      <c r="I45" s="100">
        <f t="shared" si="6"/>
        <v>0</v>
      </c>
      <c r="J45" s="104"/>
      <c r="K45" s="101"/>
      <c r="L45" s="102"/>
      <c r="M45" s="103"/>
      <c r="N45" s="98"/>
    </row>
    <row r="46" spans="1:14" s="93" customFormat="1" ht="11.25">
      <c r="A46" s="94" t="s">
        <v>147</v>
      </c>
      <c r="B46" s="95" t="s">
        <v>148</v>
      </c>
      <c r="C46" s="233">
        <f>+Medici_2025!E46</f>
        <v>11</v>
      </c>
      <c r="D46" s="97"/>
      <c r="E46" s="234">
        <f t="shared" si="5"/>
        <v>11</v>
      </c>
      <c r="F46" s="235">
        <f>101*E46</f>
        <v>1111</v>
      </c>
      <c r="G46" s="99">
        <v>0</v>
      </c>
      <c r="H46" s="97">
        <v>0</v>
      </c>
      <c r="I46" s="100">
        <f t="shared" si="6"/>
        <v>0</v>
      </c>
      <c r="J46" s="104"/>
      <c r="K46" s="101"/>
      <c r="L46" s="102"/>
      <c r="M46" s="103"/>
      <c r="N46" s="98"/>
    </row>
    <row r="47" spans="1:14" s="93" customFormat="1" ht="11.25">
      <c r="A47" s="94" t="s">
        <v>149</v>
      </c>
      <c r="B47" s="95" t="s">
        <v>150</v>
      </c>
      <c r="C47" s="233">
        <f>+Medici_2025!E47</f>
        <v>11</v>
      </c>
      <c r="D47" s="97"/>
      <c r="E47" s="234">
        <f t="shared" si="5"/>
        <v>11</v>
      </c>
      <c r="F47" s="235">
        <f>101*E47</f>
        <v>1111</v>
      </c>
      <c r="G47" s="99">
        <v>0</v>
      </c>
      <c r="H47" s="97">
        <v>0</v>
      </c>
      <c r="I47" s="100">
        <f t="shared" si="6"/>
        <v>0</v>
      </c>
      <c r="J47" s="104"/>
      <c r="K47" s="101"/>
      <c r="L47" s="102"/>
      <c r="M47" s="103"/>
      <c r="N47" s="98"/>
    </row>
    <row r="48" spans="1:14" s="93" customFormat="1" ht="11.25">
      <c r="A48" s="94" t="s">
        <v>151</v>
      </c>
      <c r="B48" s="95" t="s">
        <v>152</v>
      </c>
      <c r="C48" s="233">
        <f>+Medici_2025!E48</f>
        <v>8</v>
      </c>
      <c r="D48" s="97"/>
      <c r="E48" s="234">
        <f t="shared" si="5"/>
        <v>8</v>
      </c>
      <c r="F48" s="235">
        <f>101*E48</f>
        <v>808</v>
      </c>
      <c r="G48" s="99">
        <v>0</v>
      </c>
      <c r="H48" s="97">
        <v>0</v>
      </c>
      <c r="I48" s="100">
        <f t="shared" si="6"/>
        <v>0</v>
      </c>
      <c r="J48" s="104"/>
      <c r="K48" s="101"/>
      <c r="L48" s="102"/>
      <c r="M48" s="103"/>
      <c r="N48" s="98"/>
    </row>
    <row r="49" spans="1:14" s="93" customFormat="1" ht="11.25">
      <c r="A49" s="94" t="s">
        <v>153</v>
      </c>
      <c r="B49" s="95" t="s">
        <v>154</v>
      </c>
      <c r="C49" s="233">
        <f>+Medici_2025!E49</f>
        <v>105</v>
      </c>
      <c r="D49" s="97"/>
      <c r="E49" s="234">
        <f t="shared" si="5"/>
        <v>105</v>
      </c>
      <c r="F49" s="235">
        <f>101*E49</f>
        <v>10605</v>
      </c>
      <c r="G49" s="99">
        <v>0</v>
      </c>
      <c r="H49" s="97">
        <v>0</v>
      </c>
      <c r="I49" s="100">
        <f t="shared" si="6"/>
        <v>0</v>
      </c>
      <c r="J49" s="104"/>
      <c r="K49" s="101"/>
      <c r="L49" s="102"/>
      <c r="M49" s="103"/>
      <c r="N49" s="98"/>
    </row>
    <row r="50" spans="1:14" s="93" customFormat="1" ht="11.25">
      <c r="A50" s="94" t="s">
        <v>155</v>
      </c>
      <c r="B50" s="95" t="s">
        <v>156</v>
      </c>
      <c r="C50" s="233">
        <f>+Medici_2025!E50</f>
        <v>0</v>
      </c>
      <c r="D50" s="97"/>
      <c r="E50" s="234">
        <f t="shared" si="5"/>
        <v>0</v>
      </c>
      <c r="F50" s="235"/>
      <c r="G50" s="99"/>
      <c r="H50" s="97"/>
      <c r="I50" s="100">
        <f t="shared" si="6"/>
        <v>0</v>
      </c>
      <c r="J50" s="104"/>
      <c r="K50" s="101"/>
      <c r="L50" s="102"/>
      <c r="M50" s="103"/>
      <c r="N50" s="98"/>
    </row>
    <row r="51" spans="1:14" s="93" customFormat="1" ht="11.25">
      <c r="A51" s="94" t="s">
        <v>157</v>
      </c>
      <c r="B51" s="95" t="s">
        <v>158</v>
      </c>
      <c r="C51" s="233">
        <f>+Medici_2025!E51</f>
        <v>0</v>
      </c>
      <c r="D51" s="97"/>
      <c r="E51" s="234">
        <f t="shared" si="5"/>
        <v>0</v>
      </c>
      <c r="F51" s="235"/>
      <c r="G51" s="99"/>
      <c r="H51" s="97"/>
      <c r="I51" s="100">
        <f t="shared" si="6"/>
        <v>0</v>
      </c>
      <c r="J51" s="104"/>
      <c r="K51" s="101"/>
      <c r="L51" s="102"/>
      <c r="M51" s="103"/>
      <c r="N51" s="98"/>
    </row>
    <row r="52" spans="1:14" s="93" customFormat="1" ht="11.25">
      <c r="A52" s="94" t="s">
        <v>159</v>
      </c>
      <c r="B52" s="95" t="s">
        <v>160</v>
      </c>
      <c r="C52" s="233">
        <f>+Medici_2025!E52</f>
        <v>0</v>
      </c>
      <c r="D52" s="97"/>
      <c r="E52" s="234">
        <f t="shared" si="5"/>
        <v>0</v>
      </c>
      <c r="F52" s="235"/>
      <c r="G52" s="99"/>
      <c r="H52" s="97"/>
      <c r="I52" s="100">
        <f t="shared" si="6"/>
        <v>0</v>
      </c>
      <c r="J52" s="104"/>
      <c r="K52" s="101"/>
      <c r="L52" s="102"/>
      <c r="M52" s="103"/>
      <c r="N52" s="98"/>
    </row>
    <row r="53" spans="1:14" s="93" customFormat="1" ht="11.25">
      <c r="A53" s="94" t="s">
        <v>161</v>
      </c>
      <c r="B53" s="95" t="s">
        <v>162</v>
      </c>
      <c r="C53" s="233">
        <f>+Medici_2025!E53</f>
        <v>11</v>
      </c>
      <c r="D53" s="97"/>
      <c r="E53" s="234">
        <f t="shared" si="5"/>
        <v>11</v>
      </c>
      <c r="F53" s="235">
        <f>101*E53</f>
        <v>1111</v>
      </c>
      <c r="G53" s="99">
        <v>0</v>
      </c>
      <c r="H53" s="97">
        <v>0</v>
      </c>
      <c r="I53" s="100">
        <f t="shared" si="6"/>
        <v>0</v>
      </c>
      <c r="J53" s="104"/>
      <c r="K53" s="101"/>
      <c r="L53" s="102"/>
      <c r="M53" s="103"/>
      <c r="N53" s="98"/>
    </row>
    <row r="54" spans="1:14" s="93" customFormat="1" ht="11.25">
      <c r="A54" s="94" t="s">
        <v>163</v>
      </c>
      <c r="B54" s="95" t="s">
        <v>164</v>
      </c>
      <c r="C54" s="233">
        <f>+Medici_2025!E54</f>
        <v>0</v>
      </c>
      <c r="D54" s="97">
        <v>1</v>
      </c>
      <c r="E54" s="234">
        <f t="shared" si="5"/>
        <v>1</v>
      </c>
      <c r="F54" s="235">
        <f>101*E54</f>
        <v>101</v>
      </c>
      <c r="G54" s="99">
        <v>0</v>
      </c>
      <c r="H54" s="97">
        <v>0</v>
      </c>
      <c r="I54" s="100">
        <f t="shared" si="6"/>
        <v>0</v>
      </c>
      <c r="J54" s="104"/>
      <c r="K54" s="101"/>
      <c r="L54" s="102"/>
      <c r="M54" s="103"/>
      <c r="N54" s="98"/>
    </row>
    <row r="55" spans="1:14" s="93" customFormat="1" ht="11.25">
      <c r="A55" s="94" t="s">
        <v>165</v>
      </c>
      <c r="B55" s="95" t="s">
        <v>166</v>
      </c>
      <c r="C55" s="233">
        <f>+Medici_2025!E55</f>
        <v>7</v>
      </c>
      <c r="D55" s="97"/>
      <c r="E55" s="234">
        <f t="shared" si="5"/>
        <v>7</v>
      </c>
      <c r="F55" s="235">
        <f>101*E55</f>
        <v>707</v>
      </c>
      <c r="G55" s="99">
        <v>0</v>
      </c>
      <c r="H55" s="97">
        <v>0</v>
      </c>
      <c r="I55" s="100">
        <f t="shared" si="6"/>
        <v>0</v>
      </c>
      <c r="J55" s="104"/>
      <c r="K55" s="101"/>
      <c r="L55" s="102"/>
      <c r="M55" s="103"/>
      <c r="N55" s="98"/>
    </row>
    <row r="56" spans="1:14" s="93" customFormat="1" ht="11.25">
      <c r="A56" s="94" t="s">
        <v>167</v>
      </c>
      <c r="B56" s="95" t="s">
        <v>168</v>
      </c>
      <c r="C56" s="233">
        <f>+Medici_2025!E56</f>
        <v>4</v>
      </c>
      <c r="D56" s="97">
        <v>1</v>
      </c>
      <c r="E56" s="234">
        <f t="shared" si="5"/>
        <v>5</v>
      </c>
      <c r="F56" s="235">
        <f>101*E56</f>
        <v>505</v>
      </c>
      <c r="G56" s="99">
        <v>0</v>
      </c>
      <c r="H56" s="97">
        <v>0</v>
      </c>
      <c r="I56" s="100">
        <f t="shared" si="6"/>
        <v>0</v>
      </c>
      <c r="J56" s="104"/>
      <c r="K56" s="101"/>
      <c r="L56" s="102"/>
      <c r="M56" s="103"/>
      <c r="N56" s="98"/>
    </row>
    <row r="57" spans="1:14" s="93" customFormat="1" ht="11.25">
      <c r="A57" s="94" t="s">
        <v>169</v>
      </c>
      <c r="B57" s="95" t="s">
        <v>170</v>
      </c>
      <c r="C57" s="233">
        <f>+Medici_2025!E57</f>
        <v>0</v>
      </c>
      <c r="D57" s="97"/>
      <c r="E57" s="234">
        <f t="shared" si="5"/>
        <v>0</v>
      </c>
      <c r="F57" s="235"/>
      <c r="G57" s="99"/>
      <c r="H57" s="97"/>
      <c r="I57" s="100">
        <f t="shared" si="6"/>
        <v>0</v>
      </c>
      <c r="J57" s="104"/>
      <c r="K57" s="101"/>
      <c r="L57" s="102"/>
      <c r="M57" s="103"/>
      <c r="N57" s="98"/>
    </row>
    <row r="58" spans="1:14" s="93" customFormat="1" ht="11.25">
      <c r="A58" s="94" t="s">
        <v>171</v>
      </c>
      <c r="B58" s="95" t="s">
        <v>172</v>
      </c>
      <c r="C58" s="233">
        <f>+Medici_2025!E58</f>
        <v>10</v>
      </c>
      <c r="D58" s="97">
        <v>1</v>
      </c>
      <c r="E58" s="234">
        <f t="shared" si="5"/>
        <v>11</v>
      </c>
      <c r="F58" s="235">
        <f>101*E58</f>
        <v>1111</v>
      </c>
      <c r="G58" s="99">
        <v>0</v>
      </c>
      <c r="H58" s="97">
        <v>0</v>
      </c>
      <c r="I58" s="100">
        <f t="shared" si="6"/>
        <v>0</v>
      </c>
      <c r="J58" s="104"/>
      <c r="K58" s="101"/>
      <c r="L58" s="102"/>
      <c r="M58" s="103"/>
      <c r="N58" s="98"/>
    </row>
    <row r="59" spans="1:14" s="93" customFormat="1" ht="11.25">
      <c r="A59" s="94" t="s">
        <v>173</v>
      </c>
      <c r="B59" s="95" t="s">
        <v>174</v>
      </c>
      <c r="C59" s="233">
        <f>+Medici_2025!E59</f>
        <v>5</v>
      </c>
      <c r="D59" s="97">
        <v>4</v>
      </c>
      <c r="E59" s="234">
        <f t="shared" si="5"/>
        <v>9</v>
      </c>
      <c r="F59" s="235">
        <f>101*E59</f>
        <v>909</v>
      </c>
      <c r="G59" s="99">
        <v>0</v>
      </c>
      <c r="H59" s="97">
        <v>0</v>
      </c>
      <c r="I59" s="100">
        <f t="shared" si="6"/>
        <v>0</v>
      </c>
      <c r="J59" s="104"/>
      <c r="K59" s="101"/>
      <c r="L59" s="102"/>
      <c r="M59" s="103"/>
      <c r="N59" s="98"/>
    </row>
    <row r="60" spans="1:14" s="93" customFormat="1" ht="11.25">
      <c r="A60" s="94" t="s">
        <v>175</v>
      </c>
      <c r="B60" s="95" t="s">
        <v>176</v>
      </c>
      <c r="C60" s="233">
        <f>+Medici_2025!E60</f>
        <v>34</v>
      </c>
      <c r="D60" s="97">
        <v>9</v>
      </c>
      <c r="E60" s="234">
        <f t="shared" si="5"/>
        <v>43</v>
      </c>
      <c r="F60" s="235">
        <f>101*E60</f>
        <v>4343</v>
      </c>
      <c r="G60" s="99">
        <v>0</v>
      </c>
      <c r="H60" s="97">
        <v>0</v>
      </c>
      <c r="I60" s="100">
        <f t="shared" si="6"/>
        <v>0</v>
      </c>
      <c r="J60" s="104"/>
      <c r="K60" s="101"/>
      <c r="L60" s="102"/>
      <c r="M60" s="103"/>
      <c r="N60" s="98"/>
    </row>
    <row r="61" spans="1:14" s="93" customFormat="1" ht="11.25">
      <c r="A61" s="94" t="s">
        <v>177</v>
      </c>
      <c r="B61" s="95" t="s">
        <v>178</v>
      </c>
      <c r="C61" s="233">
        <f>+Medici_2025!E61</f>
        <v>0</v>
      </c>
      <c r="D61" s="97"/>
      <c r="E61" s="234">
        <f t="shared" si="5"/>
        <v>0</v>
      </c>
      <c r="F61" s="235"/>
      <c r="G61" s="99"/>
      <c r="H61" s="97"/>
      <c r="I61" s="100">
        <f t="shared" si="6"/>
        <v>0</v>
      </c>
      <c r="J61" s="104"/>
      <c r="K61" s="101"/>
      <c r="L61" s="102"/>
      <c r="M61" s="103"/>
      <c r="N61" s="98"/>
    </row>
    <row r="62" spans="1:14" s="93" customFormat="1" ht="11.25">
      <c r="A62" s="94" t="s">
        <v>179</v>
      </c>
      <c r="B62" s="95" t="s">
        <v>180</v>
      </c>
      <c r="C62" s="233">
        <f>+Medici_2025!E62</f>
        <v>0</v>
      </c>
      <c r="D62" s="97"/>
      <c r="E62" s="234">
        <f t="shared" si="5"/>
        <v>0</v>
      </c>
      <c r="F62" s="235"/>
      <c r="G62" s="99"/>
      <c r="H62" s="97"/>
      <c r="I62" s="100">
        <f t="shared" si="6"/>
        <v>0</v>
      </c>
      <c r="J62" s="104"/>
      <c r="K62" s="101"/>
      <c r="L62" s="102"/>
      <c r="M62" s="103"/>
      <c r="N62" s="98"/>
    </row>
    <row r="63" spans="1:14" s="93" customFormat="1" ht="11.25">
      <c r="A63" s="94" t="s">
        <v>181</v>
      </c>
      <c r="B63" s="95" t="s">
        <v>182</v>
      </c>
      <c r="C63" s="233">
        <f>+Medici_2025!E63</f>
        <v>2</v>
      </c>
      <c r="D63" s="97"/>
      <c r="E63" s="234">
        <f t="shared" si="5"/>
        <v>2</v>
      </c>
      <c r="F63" s="235">
        <f>101*2</f>
        <v>202</v>
      </c>
      <c r="G63" s="99">
        <v>0</v>
      </c>
      <c r="H63" s="97">
        <v>0</v>
      </c>
      <c r="I63" s="100">
        <f t="shared" si="6"/>
        <v>0</v>
      </c>
      <c r="J63" s="104"/>
      <c r="K63" s="101"/>
      <c r="L63" s="102"/>
      <c r="M63" s="103"/>
      <c r="N63" s="98"/>
    </row>
    <row r="64" spans="1:14" s="93" customFormat="1" ht="11.25">
      <c r="A64" s="94" t="s">
        <v>183</v>
      </c>
      <c r="B64" s="95" t="s">
        <v>184</v>
      </c>
      <c r="C64" s="233">
        <f>+Medici_2025!E64</f>
        <v>0</v>
      </c>
      <c r="D64" s="97"/>
      <c r="E64" s="234">
        <f t="shared" si="5"/>
        <v>0</v>
      </c>
      <c r="F64" s="235"/>
      <c r="G64" s="99"/>
      <c r="H64" s="97"/>
      <c r="I64" s="100">
        <f t="shared" si="6"/>
        <v>0</v>
      </c>
      <c r="J64" s="104"/>
      <c r="K64" s="101"/>
      <c r="L64" s="102"/>
      <c r="M64" s="103"/>
      <c r="N64" s="98"/>
    </row>
    <row r="65" spans="1:14" s="93" customFormat="1" ht="33.75">
      <c r="A65" s="94" t="s">
        <v>185</v>
      </c>
      <c r="B65" s="95" t="s">
        <v>186</v>
      </c>
      <c r="C65" s="233">
        <f>+Medici_2025!E65</f>
        <v>0</v>
      </c>
      <c r="D65" s="97"/>
      <c r="E65" s="234">
        <f t="shared" si="5"/>
        <v>0</v>
      </c>
      <c r="F65" s="235"/>
      <c r="G65" s="99"/>
      <c r="H65" s="97"/>
      <c r="I65" s="100">
        <f t="shared" si="6"/>
        <v>0</v>
      </c>
      <c r="J65" s="104"/>
      <c r="K65" s="101"/>
      <c r="L65" s="102"/>
      <c r="M65" s="103"/>
      <c r="N65" s="98"/>
    </row>
    <row r="66" spans="1:14" s="93" customFormat="1" ht="11.25">
      <c r="A66" s="94" t="s">
        <v>187</v>
      </c>
      <c r="B66" s="95" t="s">
        <v>188</v>
      </c>
      <c r="C66" s="233">
        <f>+Medici_2025!E66</f>
        <v>0</v>
      </c>
      <c r="D66" s="97"/>
      <c r="E66" s="234">
        <f t="shared" si="5"/>
        <v>0</v>
      </c>
      <c r="F66" s="235"/>
      <c r="G66" s="99"/>
      <c r="H66" s="97"/>
      <c r="I66" s="100">
        <f t="shared" si="6"/>
        <v>0</v>
      </c>
      <c r="J66" s="104"/>
      <c r="K66" s="101"/>
      <c r="L66" s="102"/>
      <c r="M66" s="103"/>
      <c r="N66" s="98"/>
    </row>
    <row r="67" spans="1:14" s="93" customFormat="1" ht="11.25">
      <c r="A67" s="94" t="s">
        <v>189</v>
      </c>
      <c r="B67" s="95" t="s">
        <v>190</v>
      </c>
      <c r="C67" s="233">
        <f>+Medici_2025!E67</f>
        <v>0</v>
      </c>
      <c r="D67" s="97"/>
      <c r="E67" s="234">
        <f t="shared" si="5"/>
        <v>0</v>
      </c>
      <c r="F67" s="235"/>
      <c r="G67" s="99"/>
      <c r="H67" s="97"/>
      <c r="I67" s="100">
        <f t="shared" si="6"/>
        <v>0</v>
      </c>
      <c r="J67" s="104"/>
      <c r="K67" s="101"/>
      <c r="L67" s="102"/>
      <c r="M67" s="103"/>
      <c r="N67" s="98"/>
    </row>
    <row r="68" spans="1:14" s="93" customFormat="1" ht="11.25">
      <c r="A68" s="94" t="s">
        <v>191</v>
      </c>
      <c r="B68" s="95" t="s">
        <v>192</v>
      </c>
      <c r="C68" s="233">
        <f>+Medici_2025!E68</f>
        <v>0</v>
      </c>
      <c r="D68" s="97"/>
      <c r="E68" s="234">
        <f t="shared" si="5"/>
        <v>0</v>
      </c>
      <c r="F68" s="235"/>
      <c r="G68" s="99"/>
      <c r="H68" s="97"/>
      <c r="I68" s="100">
        <f t="shared" si="6"/>
        <v>0</v>
      </c>
      <c r="J68" s="104"/>
      <c r="K68" s="101"/>
      <c r="L68" s="102"/>
      <c r="M68" s="103"/>
      <c r="N68" s="98"/>
    </row>
    <row r="69" spans="1:14" s="93" customFormat="1" ht="11.25">
      <c r="A69" s="94" t="s">
        <v>193</v>
      </c>
      <c r="B69" s="95" t="s">
        <v>194</v>
      </c>
      <c r="C69" s="233">
        <f>+Medici_2025!E69</f>
        <v>0</v>
      </c>
      <c r="D69" s="97"/>
      <c r="E69" s="234">
        <f t="shared" si="5"/>
        <v>0</v>
      </c>
      <c r="F69" s="235"/>
      <c r="G69" s="99"/>
      <c r="H69" s="97"/>
      <c r="I69" s="100">
        <f t="shared" si="6"/>
        <v>0</v>
      </c>
      <c r="J69" s="104"/>
      <c r="K69" s="101"/>
      <c r="L69" s="102"/>
      <c r="M69" s="103"/>
      <c r="N69" s="98"/>
    </row>
    <row r="70" spans="1:14" s="93" customFormat="1" ht="11.25">
      <c r="A70" s="94" t="s">
        <v>195</v>
      </c>
      <c r="B70" s="95" t="s">
        <v>196</v>
      </c>
      <c r="C70" s="233">
        <f>+Medici_2025!E70</f>
        <v>0</v>
      </c>
      <c r="D70" s="97"/>
      <c r="E70" s="234">
        <f t="shared" si="5"/>
        <v>0</v>
      </c>
      <c r="F70" s="235"/>
      <c r="G70" s="99"/>
      <c r="H70" s="97"/>
      <c r="I70" s="100">
        <f t="shared" si="6"/>
        <v>0</v>
      </c>
      <c r="J70" s="104"/>
      <c r="K70" s="101"/>
      <c r="L70" s="102"/>
      <c r="M70" s="103"/>
      <c r="N70" s="98"/>
    </row>
    <row r="71" spans="1:14" s="93" customFormat="1" ht="11.25">
      <c r="A71" s="94" t="s">
        <v>197</v>
      </c>
      <c r="B71" s="95" t="s">
        <v>198</v>
      </c>
      <c r="C71" s="233">
        <f>+Medici_2025!E71</f>
        <v>0</v>
      </c>
      <c r="D71" s="97"/>
      <c r="E71" s="234">
        <f t="shared" si="5"/>
        <v>0</v>
      </c>
      <c r="F71" s="235"/>
      <c r="G71" s="99"/>
      <c r="H71" s="97"/>
      <c r="I71" s="100">
        <f t="shared" si="6"/>
        <v>0</v>
      </c>
      <c r="J71" s="104"/>
      <c r="K71" s="101"/>
      <c r="L71" s="102"/>
      <c r="M71" s="103"/>
      <c r="N71" s="98"/>
    </row>
    <row r="72" spans="1:14" s="93" customFormat="1" ht="11.25">
      <c r="A72" s="94" t="s">
        <v>199</v>
      </c>
      <c r="B72" s="95" t="s">
        <v>200</v>
      </c>
      <c r="C72" s="233">
        <f>+Medici_2025!E72</f>
        <v>0</v>
      </c>
      <c r="D72" s="97"/>
      <c r="E72" s="234">
        <f t="shared" si="5"/>
        <v>0</v>
      </c>
      <c r="F72" s="235"/>
      <c r="G72" s="99"/>
      <c r="H72" s="97"/>
      <c r="I72" s="100">
        <f t="shared" si="6"/>
        <v>0</v>
      </c>
      <c r="J72" s="104"/>
      <c r="K72" s="101"/>
      <c r="L72" s="102"/>
      <c r="M72" s="103"/>
      <c r="N72" s="98"/>
    </row>
    <row r="73" spans="1:14" s="93" customFormat="1" ht="11.25">
      <c r="A73" s="94" t="s">
        <v>201</v>
      </c>
      <c r="B73" s="95" t="s">
        <v>202</v>
      </c>
      <c r="C73" s="233">
        <f>+Medici_2025!E73</f>
        <v>0</v>
      </c>
      <c r="D73" s="97"/>
      <c r="E73" s="234">
        <f t="shared" si="5"/>
        <v>0</v>
      </c>
      <c r="F73" s="235"/>
      <c r="G73" s="99"/>
      <c r="H73" s="97"/>
      <c r="I73" s="100">
        <f t="shared" si="6"/>
        <v>0</v>
      </c>
      <c r="J73" s="104"/>
      <c r="K73" s="101"/>
      <c r="L73" s="102"/>
      <c r="M73" s="103"/>
      <c r="N73" s="98"/>
    </row>
    <row r="74" spans="1:14" s="93" customFormat="1" ht="11.25">
      <c r="A74" s="94" t="s">
        <v>203</v>
      </c>
      <c r="B74" s="95" t="s">
        <v>204</v>
      </c>
      <c r="C74" s="233">
        <f>+Medici_2025!E74</f>
        <v>0</v>
      </c>
      <c r="D74" s="97"/>
      <c r="E74" s="234">
        <f t="shared" ref="E74:E79" si="7">+D74+C74</f>
        <v>0</v>
      </c>
      <c r="F74" s="235"/>
      <c r="G74" s="99"/>
      <c r="H74" s="97"/>
      <c r="I74" s="100">
        <f t="shared" ref="I74:I79" si="8">+G74-H74</f>
        <v>0</v>
      </c>
      <c r="J74" s="104"/>
      <c r="K74" s="101"/>
      <c r="L74" s="102"/>
      <c r="M74" s="103"/>
      <c r="N74" s="98"/>
    </row>
    <row r="75" spans="1:14" s="93" customFormat="1" ht="11.25">
      <c r="A75" s="94" t="s">
        <v>205</v>
      </c>
      <c r="B75" s="95" t="s">
        <v>206</v>
      </c>
      <c r="C75" s="233">
        <f>+Medici_2025!E75</f>
        <v>17</v>
      </c>
      <c r="D75" s="97">
        <v>4</v>
      </c>
      <c r="E75" s="234">
        <f t="shared" si="7"/>
        <v>21</v>
      </c>
      <c r="F75" s="235">
        <f>101*E75</f>
        <v>2121</v>
      </c>
      <c r="G75" s="99">
        <v>0</v>
      </c>
      <c r="H75" s="97">
        <v>0</v>
      </c>
      <c r="I75" s="100">
        <f t="shared" si="8"/>
        <v>0</v>
      </c>
      <c r="J75" s="104"/>
      <c r="K75" s="101"/>
      <c r="L75" s="102"/>
      <c r="M75" s="103"/>
      <c r="N75" s="98"/>
    </row>
    <row r="76" spans="1:14" s="93" customFormat="1" ht="11.25">
      <c r="A76" s="94" t="s">
        <v>207</v>
      </c>
      <c r="B76" s="95" t="s">
        <v>208</v>
      </c>
      <c r="C76" s="233">
        <f>+Medici_2025!E76</f>
        <v>0</v>
      </c>
      <c r="D76" s="97"/>
      <c r="E76" s="234">
        <f t="shared" si="7"/>
        <v>0</v>
      </c>
      <c r="F76" s="235"/>
      <c r="G76" s="99"/>
      <c r="H76" s="97"/>
      <c r="I76" s="100">
        <f t="shared" si="8"/>
        <v>0</v>
      </c>
      <c r="J76" s="104"/>
      <c r="K76" s="101"/>
      <c r="L76" s="102"/>
      <c r="M76" s="103"/>
      <c r="N76" s="98"/>
    </row>
    <row r="77" spans="1:14" s="93" customFormat="1" ht="11.25">
      <c r="A77" s="94" t="s">
        <v>209</v>
      </c>
      <c r="B77" s="95" t="s">
        <v>210</v>
      </c>
      <c r="C77" s="233">
        <f>+Medici_2025!E77</f>
        <v>0</v>
      </c>
      <c r="D77" s="97"/>
      <c r="E77" s="234">
        <f t="shared" si="7"/>
        <v>0</v>
      </c>
      <c r="F77" s="235"/>
      <c r="G77" s="99"/>
      <c r="H77" s="97"/>
      <c r="I77" s="100">
        <f t="shared" si="8"/>
        <v>0</v>
      </c>
      <c r="J77" s="104"/>
      <c r="K77" s="101"/>
      <c r="L77" s="102"/>
      <c r="M77" s="103"/>
      <c r="N77" s="98"/>
    </row>
    <row r="78" spans="1:14">
      <c r="A78" s="94" t="s">
        <v>211</v>
      </c>
      <c r="B78" s="95" t="s">
        <v>212</v>
      </c>
      <c r="C78" s="233">
        <f>+Medici_2025!E78</f>
        <v>3</v>
      </c>
      <c r="D78" s="97">
        <v>1</v>
      </c>
      <c r="E78" s="234">
        <f t="shared" si="7"/>
        <v>4</v>
      </c>
      <c r="F78" s="235">
        <f>101*E78</f>
        <v>404</v>
      </c>
      <c r="G78" s="99">
        <v>0</v>
      </c>
      <c r="H78" s="97">
        <v>0</v>
      </c>
      <c r="I78" s="100">
        <f t="shared" si="8"/>
        <v>0</v>
      </c>
      <c r="J78" s="104"/>
      <c r="K78" s="101"/>
      <c r="L78" s="102"/>
      <c r="M78" s="103"/>
      <c r="N78" s="98"/>
    </row>
    <row r="79" spans="1:14">
      <c r="A79" s="105" t="s">
        <v>213</v>
      </c>
      <c r="B79" s="106" t="s">
        <v>214</v>
      </c>
      <c r="C79" s="236">
        <f>+Medici_2025!E79</f>
        <v>0</v>
      </c>
      <c r="D79" s="108"/>
      <c r="E79" s="237">
        <f t="shared" si="7"/>
        <v>0</v>
      </c>
      <c r="F79" s="238"/>
      <c r="G79" s="111"/>
      <c r="H79" s="108"/>
      <c r="I79" s="112">
        <f t="shared" si="8"/>
        <v>0</v>
      </c>
      <c r="J79" s="239"/>
      <c r="K79" s="114"/>
      <c r="L79" s="115"/>
      <c r="M79" s="116"/>
      <c r="N79" s="110"/>
    </row>
    <row r="80" spans="1:14">
      <c r="C80" s="117"/>
      <c r="D80" s="117"/>
      <c r="E80" s="117"/>
      <c r="F80" s="117"/>
      <c r="G80" s="118"/>
      <c r="H80" s="117"/>
      <c r="I80" s="117"/>
      <c r="J80" s="117"/>
      <c r="K80" s="117"/>
      <c r="L80" s="117"/>
      <c r="M80" s="117"/>
      <c r="N80" s="117"/>
    </row>
    <row r="81" spans="1:18" ht="45.6" customHeight="1">
      <c r="A81" s="371" t="s">
        <v>215</v>
      </c>
      <c r="B81" s="371"/>
      <c r="C81" s="371"/>
      <c r="D81" s="371"/>
      <c r="E81" s="371"/>
      <c r="F81" s="371"/>
      <c r="G81" s="371"/>
      <c r="H81" s="371"/>
      <c r="I81" s="371"/>
      <c r="J81" s="371"/>
      <c r="K81" s="371"/>
      <c r="L81" s="371"/>
      <c r="M81" s="371"/>
      <c r="N81" s="371"/>
      <c r="O81" s="240"/>
      <c r="P81" s="104"/>
      <c r="Q81" s="92"/>
      <c r="R81" s="27"/>
    </row>
    <row r="82" spans="1:18" s="117" customFormat="1" ht="22.15" customHeight="1">
      <c r="A82" s="119"/>
      <c r="B82" s="119"/>
      <c r="C82" s="119"/>
      <c r="D82" s="119"/>
      <c r="E82" s="119"/>
      <c r="F82" s="119"/>
      <c r="G82" s="119"/>
      <c r="H82" s="119"/>
      <c r="I82" s="104"/>
      <c r="J82" s="104"/>
      <c r="K82" s="104"/>
      <c r="L82" s="104"/>
      <c r="M82" s="104"/>
      <c r="N82" s="104"/>
      <c r="O82" s="104"/>
      <c r="P82" s="104"/>
      <c r="Q82" s="92"/>
      <c r="R82" s="27"/>
    </row>
    <row r="83" spans="1:18" s="117" customFormat="1" ht="21" customHeight="1">
      <c r="A83" s="364" t="s">
        <v>216</v>
      </c>
      <c r="B83" s="364"/>
      <c r="C83" s="364"/>
      <c r="D83" s="364"/>
      <c r="E83" s="364"/>
      <c r="F83" s="120">
        <f>+SUM(F10:F79)+SUM('Altri profili_2026'!F7:F79)</f>
        <v>179062</v>
      </c>
      <c r="G83" s="119"/>
      <c r="H83" s="119"/>
      <c r="I83" s="92"/>
      <c r="J83" s="92"/>
      <c r="K83" s="92"/>
      <c r="L83" s="92"/>
      <c r="M83" s="92"/>
      <c r="N83" s="92"/>
      <c r="O83" s="104"/>
      <c r="P83" s="104"/>
      <c r="Q83" s="92"/>
      <c r="R83" s="27"/>
    </row>
    <row r="84" spans="1:18">
      <c r="A84" s="121"/>
      <c r="B84" s="254"/>
      <c r="C84" s="92"/>
      <c r="D84" s="255"/>
      <c r="E84" s="92"/>
      <c r="F84" s="92"/>
      <c r="G84" s="92"/>
      <c r="H84" s="92"/>
      <c r="I84" s="92"/>
      <c r="J84" s="92"/>
      <c r="K84" s="92"/>
      <c r="L84" s="92"/>
      <c r="M84" s="92"/>
      <c r="N84" s="92"/>
      <c r="O84" s="104"/>
      <c r="P84" s="104"/>
      <c r="Q84" s="92"/>
      <c r="R84" s="27"/>
    </row>
    <row r="85" spans="1:18" ht="21" customHeight="1">
      <c r="A85" s="365" t="s">
        <v>217</v>
      </c>
      <c r="B85" s="365"/>
      <c r="C85" s="365"/>
      <c r="D85" s="365"/>
      <c r="E85" s="365"/>
      <c r="F85" s="124">
        <v>12004</v>
      </c>
      <c r="G85" s="125" t="s">
        <v>218</v>
      </c>
      <c r="H85" s="126"/>
      <c r="J85" s="127"/>
      <c r="K85" s="366" t="s">
        <v>219</v>
      </c>
      <c r="L85" s="123"/>
      <c r="M85" s="123"/>
      <c r="N85" s="123"/>
    </row>
    <row r="86" spans="1:18" ht="21" customHeight="1">
      <c r="A86" s="365" t="s">
        <v>220</v>
      </c>
      <c r="B86" s="365"/>
      <c r="C86" s="365"/>
      <c r="D86" s="365"/>
      <c r="E86" s="365"/>
      <c r="F86" s="124">
        <v>370</v>
      </c>
      <c r="G86" s="128" t="s">
        <v>218</v>
      </c>
      <c r="H86" s="126"/>
      <c r="J86" s="127"/>
      <c r="K86" s="366"/>
      <c r="L86" s="123"/>
      <c r="M86" s="123"/>
      <c r="N86" s="123"/>
    </row>
    <row r="87" spans="1:18" ht="21" customHeight="1">
      <c r="A87" s="367" t="s">
        <v>221</v>
      </c>
      <c r="B87" s="367"/>
      <c r="C87" s="367"/>
      <c r="D87" s="367"/>
      <c r="E87" s="367"/>
      <c r="F87" s="124">
        <v>3684</v>
      </c>
      <c r="G87" s="128" t="s">
        <v>222</v>
      </c>
      <c r="H87" s="126"/>
      <c r="J87" s="127"/>
      <c r="K87" s="366"/>
      <c r="L87" s="123"/>
      <c r="M87" s="123"/>
      <c r="N87" s="123"/>
    </row>
    <row r="88" spans="1:18" ht="21" customHeight="1">
      <c r="A88" s="367" t="s">
        <v>223</v>
      </c>
      <c r="B88" s="367"/>
      <c r="C88" s="367"/>
      <c r="D88" s="367"/>
      <c r="E88" s="367"/>
      <c r="F88" s="124"/>
      <c r="G88" s="128" t="s">
        <v>222</v>
      </c>
      <c r="H88" s="126"/>
      <c r="J88" s="127"/>
      <c r="K88" s="366"/>
      <c r="L88" s="123"/>
      <c r="M88" s="123"/>
      <c r="N88" s="123"/>
    </row>
    <row r="89" spans="1:18" ht="21" customHeight="1">
      <c r="A89" s="367" t="s">
        <v>224</v>
      </c>
      <c r="B89" s="367"/>
      <c r="C89" s="367"/>
      <c r="D89" s="367"/>
      <c r="E89" s="367"/>
      <c r="F89" s="124"/>
      <c r="G89" s="129" t="s">
        <v>222</v>
      </c>
      <c r="H89" s="126"/>
      <c r="J89" s="127"/>
      <c r="K89" s="366"/>
      <c r="L89" s="123"/>
      <c r="M89" s="123"/>
      <c r="N89" s="123"/>
    </row>
    <row r="90" spans="1:18" ht="21" customHeight="1">
      <c r="A90" s="367" t="s">
        <v>225</v>
      </c>
      <c r="B90" s="367"/>
      <c r="C90" s="367"/>
      <c r="D90" s="367"/>
      <c r="E90" s="367"/>
      <c r="F90" s="124">
        <v>30702</v>
      </c>
      <c r="G90" s="129" t="s">
        <v>222</v>
      </c>
      <c r="H90" s="126"/>
      <c r="J90" s="127"/>
      <c r="K90" s="366"/>
      <c r="L90" s="123"/>
      <c r="M90" s="123"/>
      <c r="N90" s="123"/>
    </row>
    <row r="91" spans="1:18">
      <c r="A91" s="123"/>
      <c r="B91" s="123"/>
      <c r="C91" s="123"/>
      <c r="D91" s="123"/>
      <c r="E91" s="123"/>
      <c r="F91" s="123"/>
      <c r="G91" s="127"/>
      <c r="H91" s="127"/>
      <c r="J91" s="127"/>
      <c r="K91" s="366"/>
      <c r="L91" s="123"/>
      <c r="M91" s="123"/>
      <c r="N91" s="123"/>
    </row>
    <row r="92" spans="1:18" ht="21" customHeight="1">
      <c r="A92" s="361" t="s">
        <v>226</v>
      </c>
      <c r="B92" s="361"/>
      <c r="C92" s="361"/>
      <c r="D92" s="361"/>
      <c r="E92" s="361"/>
      <c r="F92" s="130">
        <f>+F83+F85+F86-F87-F88-F89-F90</f>
        <v>157050</v>
      </c>
      <c r="G92" s="362"/>
      <c r="H92" s="362"/>
      <c r="J92" s="127"/>
      <c r="K92" s="131">
        <f>+'Sintesi_Medici_2024-2026'!K94</f>
        <v>157151</v>
      </c>
      <c r="L92" s="123"/>
      <c r="M92" s="123"/>
      <c r="N92" s="123"/>
    </row>
    <row r="93" spans="1:18" ht="21" customHeight="1">
      <c r="A93" s="132"/>
      <c r="B93" s="132"/>
      <c r="C93" s="132"/>
      <c r="D93" s="132"/>
      <c r="E93" s="132"/>
      <c r="F93" s="133"/>
      <c r="G93" s="134"/>
      <c r="H93" s="134"/>
      <c r="I93" s="123"/>
      <c r="J93" s="123"/>
      <c r="K93" s="123"/>
      <c r="L93" s="123"/>
      <c r="M93" s="123"/>
      <c r="N93" s="123"/>
      <c r="O93" s="123"/>
    </row>
    <row r="94" spans="1:18" ht="21" customHeight="1">
      <c r="A94" s="363" t="s">
        <v>228</v>
      </c>
      <c r="B94" s="363"/>
      <c r="C94" s="363"/>
      <c r="D94" s="363"/>
      <c r="E94" s="363"/>
      <c r="F94" s="135">
        <f>+K92-F92</f>
        <v>101</v>
      </c>
      <c r="G94" s="134"/>
      <c r="H94" s="134"/>
      <c r="I94" s="123"/>
      <c r="J94" s="123"/>
      <c r="K94" s="123"/>
      <c r="L94" s="123"/>
      <c r="M94" s="123"/>
      <c r="N94" s="123"/>
      <c r="O94" s="123"/>
    </row>
    <row r="95" spans="1:18">
      <c r="A95" s="123"/>
      <c r="B95" s="123"/>
      <c r="C95" s="123"/>
      <c r="D95" s="123"/>
      <c r="E95" s="123"/>
      <c r="F95" s="127"/>
      <c r="G95" s="127"/>
      <c r="H95" s="127"/>
      <c r="I95" s="127"/>
      <c r="J95" s="136"/>
      <c r="K95" s="123"/>
      <c r="L95" s="123"/>
      <c r="M95" s="123"/>
      <c r="N95" s="123"/>
      <c r="R95" s="27"/>
    </row>
    <row r="96" spans="1:18" ht="45.6" customHeight="1">
      <c r="A96" s="376"/>
      <c r="B96" s="376"/>
      <c r="C96" s="376"/>
      <c r="D96" s="376"/>
      <c r="E96" s="376"/>
      <c r="F96" s="376"/>
      <c r="G96" s="376"/>
      <c r="H96" s="376"/>
      <c r="I96" s="376"/>
      <c r="J96" s="376"/>
      <c r="K96" s="376"/>
      <c r="L96" s="376"/>
      <c r="M96" s="376"/>
      <c r="N96" s="376"/>
      <c r="O96" s="241"/>
      <c r="R96" s="27"/>
    </row>
    <row r="97" spans="1:18">
      <c r="A97" s="137"/>
      <c r="B97" s="137"/>
      <c r="C97" s="137"/>
      <c r="D97" s="137"/>
      <c r="E97" s="137"/>
      <c r="F97" s="137"/>
      <c r="G97" s="137"/>
      <c r="H97" s="137"/>
      <c r="I97" s="123"/>
      <c r="J97" s="136"/>
      <c r="K97" s="123"/>
      <c r="L97" s="123"/>
      <c r="M97" s="123"/>
      <c r="N97" s="123"/>
      <c r="R97" s="27"/>
    </row>
    <row r="98" spans="1:18" ht="21" customHeight="1">
      <c r="A98" s="381"/>
      <c r="B98" s="381"/>
      <c r="C98" s="381"/>
      <c r="D98" s="381"/>
      <c r="E98" s="381"/>
      <c r="F98" s="138"/>
      <c r="G98" s="382"/>
      <c r="H98" s="382"/>
      <c r="I98" s="123"/>
      <c r="J98" s="123"/>
      <c r="K98" s="123"/>
      <c r="L98" s="123"/>
      <c r="M98" s="123"/>
      <c r="N98" s="123"/>
      <c r="R98" s="27"/>
    </row>
    <row r="99" spans="1:18" ht="21" customHeight="1">
      <c r="A99" s="381"/>
      <c r="B99" s="381"/>
      <c r="C99" s="381"/>
      <c r="D99" s="381"/>
      <c r="E99" s="381"/>
      <c r="F99" s="139"/>
      <c r="G99" s="382"/>
      <c r="H99" s="382"/>
      <c r="I99" s="123"/>
      <c r="J99" s="123"/>
      <c r="K99" s="123"/>
      <c r="L99" s="123"/>
      <c r="M99" s="123"/>
      <c r="N99" s="123"/>
      <c r="R99" s="27"/>
    </row>
    <row r="100" spans="1:18" ht="21" customHeight="1">
      <c r="A100" s="381"/>
      <c r="B100" s="381"/>
      <c r="C100" s="381"/>
      <c r="D100" s="381"/>
      <c r="E100" s="381"/>
      <c r="F100" s="139"/>
      <c r="G100" s="382"/>
      <c r="H100" s="382"/>
      <c r="I100" s="123"/>
      <c r="J100" s="123"/>
      <c r="K100" s="123"/>
      <c r="L100" s="123"/>
      <c r="M100" s="123"/>
      <c r="N100" s="123"/>
      <c r="R100" s="27"/>
    </row>
    <row r="101" spans="1:18" ht="21" customHeight="1">
      <c r="A101" s="365"/>
      <c r="B101" s="365"/>
      <c r="C101" s="365"/>
      <c r="D101" s="365"/>
      <c r="E101" s="365"/>
      <c r="F101" s="124"/>
      <c r="G101" s="382"/>
      <c r="H101" s="382"/>
      <c r="I101" s="123"/>
      <c r="J101" s="123"/>
      <c r="K101" s="123"/>
      <c r="L101" s="123"/>
      <c r="M101" s="123"/>
      <c r="N101" s="123"/>
      <c r="R101" s="27"/>
    </row>
    <row r="102" spans="1:18" ht="21" customHeight="1">
      <c r="A102" s="365"/>
      <c r="B102" s="365"/>
      <c r="C102" s="365"/>
      <c r="D102" s="365"/>
      <c r="E102" s="365"/>
      <c r="F102" s="124"/>
      <c r="G102" s="382"/>
      <c r="H102" s="382"/>
      <c r="I102" s="123"/>
      <c r="J102" s="123"/>
      <c r="K102" s="123"/>
      <c r="L102" s="123"/>
      <c r="M102" s="123"/>
      <c r="N102" s="123"/>
      <c r="R102" s="27"/>
    </row>
    <row r="103" spans="1:18" ht="21" customHeight="1">
      <c r="A103" s="367"/>
      <c r="B103" s="367"/>
      <c r="C103" s="367"/>
      <c r="D103" s="367"/>
      <c r="E103" s="367"/>
      <c r="F103" s="124"/>
      <c r="G103" s="382"/>
      <c r="H103" s="382"/>
      <c r="I103" s="123"/>
      <c r="J103" s="123"/>
      <c r="K103" s="123"/>
      <c r="L103" s="123"/>
      <c r="M103" s="123"/>
      <c r="N103" s="123"/>
      <c r="R103" s="27"/>
    </row>
    <row r="104" spans="1:18" ht="21" customHeight="1">
      <c r="A104" s="367"/>
      <c r="B104" s="367"/>
      <c r="C104" s="367"/>
      <c r="D104" s="367"/>
      <c r="E104" s="367"/>
      <c r="F104" s="124"/>
      <c r="G104" s="382"/>
      <c r="H104" s="382"/>
      <c r="I104" s="123"/>
      <c r="J104" s="123"/>
      <c r="K104" s="123"/>
      <c r="L104" s="123"/>
      <c r="M104" s="123"/>
      <c r="N104" s="123"/>
      <c r="R104" s="27"/>
    </row>
    <row r="105" spans="1:18" ht="21" customHeight="1">
      <c r="A105" s="367"/>
      <c r="B105" s="367"/>
      <c r="C105" s="367"/>
      <c r="D105" s="367"/>
      <c r="E105" s="367"/>
      <c r="F105" s="124"/>
      <c r="G105" s="382"/>
      <c r="H105" s="382"/>
      <c r="I105" s="123"/>
      <c r="J105" s="123"/>
      <c r="K105" s="123"/>
      <c r="L105" s="123"/>
      <c r="M105" s="123"/>
      <c r="N105" s="123"/>
      <c r="R105" s="27"/>
    </row>
    <row r="106" spans="1:18" ht="21" customHeight="1">
      <c r="A106" s="367"/>
      <c r="B106" s="367"/>
      <c r="C106" s="367"/>
      <c r="D106" s="367"/>
      <c r="E106" s="367"/>
      <c r="F106" s="124"/>
      <c r="G106" s="382"/>
      <c r="H106" s="382"/>
      <c r="I106" s="123"/>
      <c r="J106" s="123"/>
      <c r="K106" s="123"/>
      <c r="L106" s="123"/>
      <c r="M106" s="123"/>
      <c r="N106" s="123"/>
      <c r="R106" s="27"/>
    </row>
    <row r="107" spans="1:18">
      <c r="A107" s="123"/>
      <c r="B107" s="123"/>
      <c r="C107" s="123"/>
      <c r="D107" s="123"/>
      <c r="E107" s="140"/>
      <c r="F107" s="123"/>
      <c r="G107" s="140"/>
      <c r="H107" s="140"/>
      <c r="I107" s="123"/>
      <c r="J107" s="136"/>
      <c r="K107" s="123"/>
      <c r="L107" s="123"/>
      <c r="M107" s="123"/>
      <c r="N107" s="123"/>
      <c r="R107" s="27"/>
    </row>
    <row r="108" spans="1:18" ht="21" customHeight="1">
      <c r="A108" s="361"/>
      <c r="B108" s="361"/>
      <c r="C108" s="361"/>
      <c r="D108" s="361"/>
      <c r="E108" s="361"/>
      <c r="F108" s="141">
        <f>++SUM(F98:F102)-F103-F104-F105-F106</f>
        <v>0</v>
      </c>
      <c r="G108" s="380"/>
      <c r="H108" s="380"/>
      <c r="I108" s="123"/>
      <c r="J108" s="136"/>
      <c r="K108" s="123"/>
      <c r="L108" s="123"/>
      <c r="M108" s="123"/>
      <c r="N108" s="123"/>
      <c r="R108" s="27"/>
    </row>
    <row r="109" spans="1:18">
      <c r="A109" s="123"/>
      <c r="B109" s="123"/>
      <c r="C109" s="123"/>
      <c r="D109" s="123"/>
      <c r="E109" s="123"/>
      <c r="F109" s="123"/>
      <c r="G109" s="123"/>
      <c r="H109" s="123"/>
      <c r="I109" s="123"/>
      <c r="J109" s="136"/>
      <c r="K109" s="123"/>
      <c r="L109" s="123"/>
      <c r="M109" s="123"/>
      <c r="N109" s="123"/>
      <c r="R109" s="27"/>
    </row>
  </sheetData>
  <sheetProtection algorithmName="SHA-512" hashValue="taVu4zyFpcP3x6uxQWjjWo4qM6+KBxBG/ogpEGgIaprB1TtFaQfh2cIY0bkQRtogs6duphrg2VYG8xfitPXNtQ==" saltValue="va4FGUZr412Q0GvTFNMbJg==" spinCount="100000" sheet="1" formatColumns="0" formatRows="0"/>
  <mergeCells count="29">
    <mergeCell ref="A4:B4"/>
    <mergeCell ref="A5:B5"/>
    <mergeCell ref="A7:B7"/>
    <mergeCell ref="A9:B9"/>
    <mergeCell ref="A81:N81"/>
    <mergeCell ref="A83:E83"/>
    <mergeCell ref="A85:E85"/>
    <mergeCell ref="K85:K91"/>
    <mergeCell ref="A86:E86"/>
    <mergeCell ref="A87:E87"/>
    <mergeCell ref="A88:E88"/>
    <mergeCell ref="A89:E89"/>
    <mergeCell ref="A90:E90"/>
    <mergeCell ref="A108:E108"/>
    <mergeCell ref="G108:H108"/>
    <mergeCell ref="A92:E92"/>
    <mergeCell ref="G92:H92"/>
    <mergeCell ref="A94:E94"/>
    <mergeCell ref="A96:N96"/>
    <mergeCell ref="A98:E98"/>
    <mergeCell ref="G98:H106"/>
    <mergeCell ref="A99:E99"/>
    <mergeCell ref="A100:E100"/>
    <mergeCell ref="A101:E101"/>
    <mergeCell ref="A102:E102"/>
    <mergeCell ref="A103:E103"/>
    <mergeCell ref="A104:E104"/>
    <mergeCell ref="A105:E105"/>
    <mergeCell ref="A106:E106"/>
  </mergeCells>
  <conditionalFormatting sqref="G10:I79">
    <cfRule type="cellIs" dxfId="33" priority="2" operator="lessThan">
      <formula>0</formula>
    </cfRule>
  </conditionalFormatting>
  <conditionalFormatting sqref="H10:I79">
    <cfRule type="cellIs" dxfId="32" priority="3" operator="greaterThan">
      <formula>$G$7</formula>
    </cfRule>
  </conditionalFormatting>
  <conditionalFormatting sqref="G7:I9">
    <cfRule type="cellIs" dxfId="31" priority="4" operator="lessThan">
      <formula>0</formula>
    </cfRule>
  </conditionalFormatting>
  <conditionalFormatting sqref="H7:I9">
    <cfRule type="cellIs" dxfId="30" priority="5" operator="greaterThan">
      <formula>$G$7</formula>
    </cfRule>
  </conditionalFormatting>
  <conditionalFormatting sqref="M7">
    <cfRule type="cellIs" dxfId="29" priority="6" operator="lessThan">
      <formula>0</formula>
    </cfRule>
  </conditionalFormatting>
  <conditionalFormatting sqref="K10:K79">
    <cfRule type="cellIs" dxfId="28" priority="7" operator="lessThan">
      <formula>0</formula>
    </cfRule>
  </conditionalFormatting>
  <conditionalFormatting sqref="K7:K9">
    <cfRule type="cellIs" dxfId="27" priority="8" operator="lessThan">
      <formula>0</formula>
    </cfRule>
  </conditionalFormatting>
  <conditionalFormatting sqref="L7">
    <cfRule type="cellIs" dxfId="26" priority="9" operator="lessThan">
      <formula>0</formula>
    </cfRule>
  </conditionalFormatting>
  <conditionalFormatting sqref="M8:M9">
    <cfRule type="cellIs" dxfId="25" priority="10" operator="lessThan">
      <formula>0</formula>
    </cfRule>
  </conditionalFormatting>
  <conditionalFormatting sqref="K10:K79">
    <cfRule type="cellIs" dxfId="24" priority="11" operator="greaterThan">
      <formula>#REF!</formula>
    </cfRule>
  </conditionalFormatting>
  <conditionalFormatting sqref="K7:K9">
    <cfRule type="cellIs" dxfId="23" priority="12" operator="greaterThan">
      <formula>#REF!</formula>
    </cfRule>
  </conditionalFormatting>
  <conditionalFormatting sqref="M10:M79">
    <cfRule type="cellIs" dxfId="22" priority="13" operator="lessThan">
      <formula>0</formula>
    </cfRule>
  </conditionalFormatting>
  <conditionalFormatting sqref="M10:M79">
    <cfRule type="cellIs" dxfId="21" priority="14" operator="greaterThan">
      <formula>#REF!</formula>
    </cfRule>
  </conditionalFormatting>
  <conditionalFormatting sqref="M8:M9">
    <cfRule type="cellIs" dxfId="20" priority="15" operator="greaterThan">
      <formula>#REF!</formula>
    </cfRule>
  </conditionalFormatting>
  <conditionalFormatting sqref="M7">
    <cfRule type="cellIs" dxfId="19" priority="16" operator="greaterThan">
      <formula>#REF!</formula>
    </cfRule>
  </conditionalFormatting>
  <conditionalFormatting sqref="L10:L79">
    <cfRule type="cellIs" dxfId="18" priority="17" operator="lessThan">
      <formula>0</formula>
    </cfRule>
  </conditionalFormatting>
  <conditionalFormatting sqref="L10:L79">
    <cfRule type="cellIs" dxfId="17" priority="18" operator="greaterThan">
      <formula>#REF!</formula>
    </cfRule>
  </conditionalFormatting>
  <conditionalFormatting sqref="L8:L9">
    <cfRule type="cellIs" dxfId="16" priority="19" operator="lessThan">
      <formula>0</formula>
    </cfRule>
  </conditionalFormatting>
  <conditionalFormatting sqref="L8:L9">
    <cfRule type="cellIs" dxfId="15" priority="20" operator="greaterThan">
      <formula>#REF!</formula>
    </cfRule>
  </conditionalFormatting>
  <conditionalFormatting sqref="L7">
    <cfRule type="cellIs" dxfId="14" priority="21" operator="greaterThan">
      <formula>#REF!</formula>
    </cfRule>
  </conditionalFormatting>
  <pageMargins left="0.23611111111111099" right="0.23611111111111099" top="0.74791666666666701" bottom="0.74791666666666701" header="0.51180555555555496" footer="0.31527777777777799"/>
  <pageSetup paperSize="8" scale="46" firstPageNumber="0" orientation="landscape" r:id="rId1"/>
  <headerFooter>
    <oddFooter>&amp;R&amp;"Arial,Normale"&amp;10&amp;A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80"/>
  <sheetViews>
    <sheetView showGridLines="0" zoomScale="110" zoomScaleNormal="110" zoomScalePageLayoutView="85" workbookViewId="0">
      <pane xSplit="2" ySplit="6" topLeftCell="C64" activePane="bottomRight" state="frozen"/>
      <selection pane="topRight" activeCell="C1" sqref="C1"/>
      <selection pane="bottomLeft" activeCell="A78" sqref="A78"/>
      <selection pane="bottomRight" activeCell="D60" sqref="D60"/>
    </sheetView>
  </sheetViews>
  <sheetFormatPr defaultColWidth="9.140625" defaultRowHeight="15"/>
  <cols>
    <col min="1" max="1" width="10.28515625" style="25" customWidth="1"/>
    <col min="2" max="2" width="49.5703125" style="25" customWidth="1"/>
    <col min="3" max="6" width="12.42578125" style="25" customWidth="1"/>
    <col min="7" max="7" width="12.42578125" style="26" customWidth="1"/>
    <col min="8" max="9" width="18" style="25" customWidth="1"/>
    <col min="10" max="10" width="0.7109375" style="25" customWidth="1"/>
    <col min="11" max="13" width="12.28515625" style="25" customWidth="1"/>
    <col min="14" max="14" width="37.7109375" style="25" customWidth="1"/>
    <col min="15" max="15" width="1.85546875" style="27" customWidth="1"/>
    <col min="16" max="20" width="9.140625" style="25"/>
    <col min="21" max="21" width="9.140625" style="25" hidden="1"/>
    <col min="22" max="1024" width="9.140625" style="25"/>
  </cols>
  <sheetData>
    <row r="1" spans="1:21">
      <c r="A1" s="28" t="s">
        <v>50</v>
      </c>
      <c r="B1" s="29" t="str">
        <f>+Copertina!F20</f>
        <v xml:space="preserve">AO Civico </v>
      </c>
      <c r="C1" s="26"/>
      <c r="D1" s="26"/>
      <c r="E1" s="26"/>
      <c r="F1" s="26"/>
      <c r="G1" s="30"/>
    </row>
    <row r="2" spans="1:21" s="25" customFormat="1" ht="15" customHeight="1">
      <c r="A2" s="31" t="str">
        <f>"Piano del Fabbisogno 2026 "&amp;B1</f>
        <v xml:space="preserve">Piano del Fabbisogno 2026 AO Civico </v>
      </c>
      <c r="B2" s="32"/>
      <c r="C2" s="33"/>
      <c r="D2" s="33"/>
      <c r="E2" s="33"/>
      <c r="F2" s="33"/>
      <c r="G2" s="33"/>
      <c r="H2" s="32"/>
      <c r="I2" s="32"/>
      <c r="J2" s="33"/>
      <c r="K2" s="33"/>
      <c r="L2" s="33"/>
      <c r="M2" s="33"/>
      <c r="N2" s="34"/>
    </row>
    <row r="3" spans="1:21" s="25" customFormat="1" ht="16.5" customHeight="1">
      <c r="A3" s="222" t="s">
        <v>234</v>
      </c>
      <c r="B3" s="39"/>
      <c r="C3" s="39"/>
      <c r="D3" s="39"/>
      <c r="E3" s="39"/>
      <c r="F3" s="39"/>
      <c r="G3" s="39"/>
      <c r="H3" s="39"/>
      <c r="I3" s="39"/>
      <c r="J3" s="223"/>
      <c r="K3" s="37"/>
      <c r="L3" s="37"/>
      <c r="M3" s="37"/>
      <c r="N3" s="224"/>
    </row>
    <row r="4" spans="1:21" s="25" customFormat="1" ht="87.75" customHeight="1">
      <c r="A4" s="379" t="s">
        <v>235</v>
      </c>
      <c r="B4" s="379"/>
      <c r="C4" s="225" t="s">
        <v>436</v>
      </c>
      <c r="D4" s="41" t="s">
        <v>448</v>
      </c>
      <c r="E4" s="41" t="s">
        <v>444</v>
      </c>
      <c r="F4" s="42" t="s">
        <v>53</v>
      </c>
      <c r="G4" s="242" t="s">
        <v>55</v>
      </c>
      <c r="H4" s="243" t="s">
        <v>56</v>
      </c>
      <c r="I4" s="244" t="s">
        <v>57</v>
      </c>
      <c r="J4" s="245"/>
      <c r="K4" s="45" t="s">
        <v>58</v>
      </c>
      <c r="L4" s="45" t="s">
        <v>59</v>
      </c>
      <c r="M4" s="45" t="s">
        <v>60</v>
      </c>
      <c r="N4" s="246" t="s">
        <v>61</v>
      </c>
    </row>
    <row r="5" spans="1:21" ht="22.5" customHeight="1">
      <c r="A5" s="377"/>
      <c r="B5" s="377"/>
      <c r="C5" s="40" t="s">
        <v>62</v>
      </c>
      <c r="D5" s="50" t="s">
        <v>63</v>
      </c>
      <c r="E5" s="50" t="s">
        <v>64</v>
      </c>
      <c r="F5" s="42" t="s">
        <v>65</v>
      </c>
      <c r="G5" s="51" t="s">
        <v>67</v>
      </c>
      <c r="H5" s="52" t="s">
        <v>68</v>
      </c>
      <c r="I5" s="53" t="s">
        <v>69</v>
      </c>
      <c r="J5" s="58"/>
      <c r="K5" s="54" t="s">
        <v>238</v>
      </c>
      <c r="L5" s="54" t="s">
        <v>239</v>
      </c>
      <c r="M5" s="54" t="s">
        <v>240</v>
      </c>
      <c r="N5" s="55"/>
    </row>
    <row r="6" spans="1:21" ht="15" customHeight="1">
      <c r="A6" s="370" t="s">
        <v>241</v>
      </c>
      <c r="B6" s="370"/>
      <c r="C6" s="62">
        <f t="shared" ref="C6:I6" si="0">+SUM(C7:C79)</f>
        <v>2196</v>
      </c>
      <c r="D6" s="63">
        <f t="shared" si="0"/>
        <v>101</v>
      </c>
      <c r="E6" s="63">
        <f t="shared" si="0"/>
        <v>2297</v>
      </c>
      <c r="F6" s="150">
        <f t="shared" si="0"/>
        <v>101393</v>
      </c>
      <c r="G6" s="62">
        <f t="shared" si="0"/>
        <v>0</v>
      </c>
      <c r="H6" s="63">
        <f t="shared" si="0"/>
        <v>0</v>
      </c>
      <c r="I6" s="150">
        <f t="shared" si="0"/>
        <v>0</v>
      </c>
      <c r="J6" s="77"/>
      <c r="K6" s="151">
        <f>+SUM(K7:K79)</f>
        <v>0</v>
      </c>
      <c r="L6" s="152"/>
      <c r="M6" s="152"/>
      <c r="N6" s="68"/>
      <c r="O6" s="79"/>
    </row>
    <row r="7" spans="1:21" s="93" customFormat="1" ht="11.25">
      <c r="A7" s="153" t="s">
        <v>242</v>
      </c>
      <c r="B7" s="154" t="s">
        <v>243</v>
      </c>
      <c r="C7" s="230">
        <f>+'Altri profili_2025_'!E7</f>
        <v>1295</v>
      </c>
      <c r="D7" s="83">
        <v>50</v>
      </c>
      <c r="E7" s="231">
        <f t="shared" ref="E7:E38" si="1">+D7+C7</f>
        <v>1345</v>
      </c>
      <c r="F7" s="247">
        <f>45*E7</f>
        <v>60525</v>
      </c>
      <c r="G7" s="86">
        <v>0</v>
      </c>
      <c r="H7" s="83"/>
      <c r="I7" s="87">
        <f t="shared" ref="I7:I38" si="2">+G7-H7</f>
        <v>0</v>
      </c>
      <c r="J7" s="88"/>
      <c r="K7" s="159"/>
      <c r="L7" s="162"/>
      <c r="M7" s="103"/>
      <c r="N7" s="248"/>
      <c r="O7" s="92"/>
      <c r="U7" s="249" t="s">
        <v>243</v>
      </c>
    </row>
    <row r="8" spans="1:21" s="93" customFormat="1" ht="11.25">
      <c r="A8" s="164" t="s">
        <v>244</v>
      </c>
      <c r="B8" s="165" t="s">
        <v>245</v>
      </c>
      <c r="C8" s="233">
        <f>+'Altri profili_2025_'!E8</f>
        <v>0</v>
      </c>
      <c r="D8" s="97"/>
      <c r="E8" s="234">
        <f t="shared" si="1"/>
        <v>0</v>
      </c>
      <c r="F8" s="235"/>
      <c r="G8" s="99"/>
      <c r="H8" s="97"/>
      <c r="I8" s="100">
        <f t="shared" si="2"/>
        <v>0</v>
      </c>
      <c r="J8" s="104"/>
      <c r="K8" s="170"/>
      <c r="L8" s="103"/>
      <c r="M8" s="103"/>
      <c r="N8" s="98"/>
      <c r="O8" s="92"/>
      <c r="U8" s="249" t="s">
        <v>243</v>
      </c>
    </row>
    <row r="9" spans="1:21" s="93" customFormat="1" ht="11.25">
      <c r="A9" s="164" t="s">
        <v>246</v>
      </c>
      <c r="B9" s="165" t="s">
        <v>247</v>
      </c>
      <c r="C9" s="233">
        <f>+'Altri profili_2025_'!E9</f>
        <v>0</v>
      </c>
      <c r="D9" s="97"/>
      <c r="E9" s="234">
        <f t="shared" si="1"/>
        <v>0</v>
      </c>
      <c r="F9" s="235"/>
      <c r="G9" s="99"/>
      <c r="H9" s="97"/>
      <c r="I9" s="100">
        <f t="shared" si="2"/>
        <v>0</v>
      </c>
      <c r="J9" s="104"/>
      <c r="K9" s="167"/>
      <c r="L9" s="103"/>
      <c r="M9" s="103"/>
      <c r="N9" s="98"/>
      <c r="O9" s="92"/>
      <c r="U9" s="249" t="s">
        <v>243</v>
      </c>
    </row>
    <row r="10" spans="1:21" s="93" customFormat="1" ht="11.25">
      <c r="A10" s="164" t="s">
        <v>248</v>
      </c>
      <c r="B10" s="165" t="s">
        <v>249</v>
      </c>
      <c r="C10" s="233">
        <f>+'Altri profili_2025_'!E10</f>
        <v>0</v>
      </c>
      <c r="D10" s="97"/>
      <c r="E10" s="234">
        <f t="shared" si="1"/>
        <v>0</v>
      </c>
      <c r="F10" s="235"/>
      <c r="G10" s="99"/>
      <c r="H10" s="97"/>
      <c r="I10" s="100">
        <f t="shared" si="2"/>
        <v>0</v>
      </c>
      <c r="J10" s="88"/>
      <c r="K10" s="167"/>
      <c r="L10" s="103"/>
      <c r="M10" s="103"/>
      <c r="N10" s="98"/>
      <c r="O10" s="92"/>
      <c r="U10" s="249" t="s">
        <v>243</v>
      </c>
    </row>
    <row r="11" spans="1:21" s="93" customFormat="1" ht="11.25">
      <c r="A11" s="164" t="s">
        <v>250</v>
      </c>
      <c r="B11" s="165" t="s">
        <v>251</v>
      </c>
      <c r="C11" s="233">
        <f>+'Altri profili_2025_'!E11</f>
        <v>270</v>
      </c>
      <c r="D11" s="97"/>
      <c r="E11" s="234">
        <f t="shared" si="1"/>
        <v>270</v>
      </c>
      <c r="F11" s="235">
        <f>+E11*36</f>
        <v>9720</v>
      </c>
      <c r="G11" s="99"/>
      <c r="H11" s="97"/>
      <c r="I11" s="100">
        <f t="shared" si="2"/>
        <v>0</v>
      </c>
      <c r="J11" s="88"/>
      <c r="K11" s="167"/>
      <c r="L11" s="103"/>
      <c r="M11" s="103"/>
      <c r="N11" s="98"/>
      <c r="O11" s="92"/>
      <c r="U11" s="249" t="s">
        <v>252</v>
      </c>
    </row>
    <row r="12" spans="1:21" s="93" customFormat="1" ht="11.25">
      <c r="A12" s="164" t="s">
        <v>253</v>
      </c>
      <c r="B12" s="165" t="s">
        <v>254</v>
      </c>
      <c r="C12" s="233">
        <f>+'Altri profili_2025_'!E12</f>
        <v>0</v>
      </c>
      <c r="D12" s="97"/>
      <c r="E12" s="234">
        <f t="shared" si="1"/>
        <v>0</v>
      </c>
      <c r="F12" s="235"/>
      <c r="G12" s="99"/>
      <c r="H12" s="97"/>
      <c r="I12" s="100">
        <f t="shared" si="2"/>
        <v>0</v>
      </c>
      <c r="J12" s="104"/>
      <c r="K12" s="167"/>
      <c r="L12" s="103"/>
      <c r="M12" s="103"/>
      <c r="N12" s="98"/>
      <c r="O12" s="92"/>
      <c r="U12" s="249" t="s">
        <v>252</v>
      </c>
    </row>
    <row r="13" spans="1:21" s="93" customFormat="1" ht="11.25">
      <c r="A13" s="164" t="s">
        <v>255</v>
      </c>
      <c r="B13" s="165" t="s">
        <v>256</v>
      </c>
      <c r="C13" s="233">
        <f>+'Altri profili_2025_'!E13</f>
        <v>15</v>
      </c>
      <c r="D13" s="97"/>
      <c r="E13" s="234">
        <f t="shared" si="1"/>
        <v>15</v>
      </c>
      <c r="F13" s="235">
        <f>32*E13</f>
        <v>480</v>
      </c>
      <c r="G13" s="99">
        <v>0</v>
      </c>
      <c r="H13" s="97">
        <v>0</v>
      </c>
      <c r="I13" s="100">
        <f t="shared" si="2"/>
        <v>0</v>
      </c>
      <c r="J13" s="104"/>
      <c r="K13" s="167"/>
      <c r="L13" s="103"/>
      <c r="M13" s="103"/>
      <c r="N13" s="98"/>
      <c r="O13" s="92"/>
      <c r="U13" s="249" t="s">
        <v>252</v>
      </c>
    </row>
    <row r="14" spans="1:21" s="93" customFormat="1" ht="11.25">
      <c r="A14" s="164" t="s">
        <v>257</v>
      </c>
      <c r="B14" s="165" t="s">
        <v>258</v>
      </c>
      <c r="C14" s="233">
        <f>+'Altri profili_2025_'!E14</f>
        <v>1</v>
      </c>
      <c r="D14" s="97"/>
      <c r="E14" s="234">
        <f t="shared" si="1"/>
        <v>1</v>
      </c>
      <c r="F14" s="235">
        <v>40</v>
      </c>
      <c r="G14" s="99">
        <v>0</v>
      </c>
      <c r="H14" s="97">
        <v>0</v>
      </c>
      <c r="I14" s="100">
        <f t="shared" si="2"/>
        <v>0</v>
      </c>
      <c r="J14" s="104"/>
      <c r="K14" s="170"/>
      <c r="L14" s="103"/>
      <c r="M14" s="103"/>
      <c r="N14" s="98"/>
      <c r="O14" s="92"/>
      <c r="U14" s="249" t="s">
        <v>259</v>
      </c>
    </row>
    <row r="15" spans="1:21" s="93" customFormat="1" ht="11.25">
      <c r="A15" s="164" t="s">
        <v>260</v>
      </c>
      <c r="B15" s="165" t="s">
        <v>261</v>
      </c>
      <c r="C15" s="233">
        <f>+'Altri profili_2025_'!E15</f>
        <v>0</v>
      </c>
      <c r="D15" s="97"/>
      <c r="E15" s="234">
        <f t="shared" si="1"/>
        <v>0</v>
      </c>
      <c r="F15" s="235"/>
      <c r="G15" s="99"/>
      <c r="H15" s="97"/>
      <c r="I15" s="100">
        <f t="shared" si="2"/>
        <v>0</v>
      </c>
      <c r="J15" s="104"/>
      <c r="K15" s="170"/>
      <c r="L15" s="103"/>
      <c r="M15" s="103"/>
      <c r="N15" s="98"/>
      <c r="O15" s="92"/>
      <c r="U15" s="249" t="s">
        <v>262</v>
      </c>
    </row>
    <row r="16" spans="1:21" s="93" customFormat="1" ht="11.25">
      <c r="A16" s="94" t="s">
        <v>263</v>
      </c>
      <c r="B16" s="171" t="s">
        <v>264</v>
      </c>
      <c r="C16" s="233">
        <f>+'Altri profili_2025_'!E16</f>
        <v>0</v>
      </c>
      <c r="D16" s="97"/>
      <c r="E16" s="234">
        <f t="shared" si="1"/>
        <v>0</v>
      </c>
      <c r="F16" s="235"/>
      <c r="G16" s="99"/>
      <c r="H16" s="97"/>
      <c r="I16" s="100">
        <f t="shared" si="2"/>
        <v>0</v>
      </c>
      <c r="J16" s="104"/>
      <c r="K16" s="170"/>
      <c r="L16" s="103"/>
      <c r="M16" s="103"/>
      <c r="N16" s="98"/>
      <c r="O16" s="92"/>
      <c r="U16" s="249" t="s">
        <v>262</v>
      </c>
    </row>
    <row r="17" spans="1:21" s="93" customFormat="1" ht="11.25">
      <c r="A17" s="94" t="s">
        <v>265</v>
      </c>
      <c r="B17" s="171" t="s">
        <v>266</v>
      </c>
      <c r="C17" s="233">
        <f>+'Altri profili_2025_'!E17</f>
        <v>30</v>
      </c>
      <c r="D17" s="97">
        <v>3</v>
      </c>
      <c r="E17" s="234">
        <f t="shared" si="1"/>
        <v>33</v>
      </c>
      <c r="F17" s="235">
        <f>43*E17</f>
        <v>1419</v>
      </c>
      <c r="G17" s="99">
        <v>0</v>
      </c>
      <c r="H17" s="97">
        <v>0</v>
      </c>
      <c r="I17" s="100">
        <f t="shared" si="2"/>
        <v>0</v>
      </c>
      <c r="J17" s="104"/>
      <c r="K17" s="170"/>
      <c r="L17" s="103"/>
      <c r="M17" s="103"/>
      <c r="N17" s="98"/>
      <c r="O17" s="92"/>
      <c r="U17" s="249" t="s">
        <v>262</v>
      </c>
    </row>
    <row r="18" spans="1:21" s="93" customFormat="1" ht="11.25">
      <c r="A18" s="94" t="s">
        <v>267</v>
      </c>
      <c r="B18" s="171" t="s">
        <v>268</v>
      </c>
      <c r="C18" s="233">
        <f>+'Altri profili_2025_'!E18</f>
        <v>2</v>
      </c>
      <c r="D18" s="97"/>
      <c r="E18" s="234">
        <f t="shared" si="1"/>
        <v>2</v>
      </c>
      <c r="F18" s="235">
        <f>41*E18</f>
        <v>82</v>
      </c>
      <c r="G18" s="99"/>
      <c r="H18" s="97"/>
      <c r="I18" s="100">
        <f t="shared" si="2"/>
        <v>0</v>
      </c>
      <c r="J18" s="104"/>
      <c r="K18" s="170"/>
      <c r="L18" s="103"/>
      <c r="M18" s="103"/>
      <c r="N18" s="98"/>
      <c r="O18" s="92"/>
      <c r="U18" s="249" t="s">
        <v>262</v>
      </c>
    </row>
    <row r="19" spans="1:21" s="93" customFormat="1" ht="11.25">
      <c r="A19" s="94" t="s">
        <v>269</v>
      </c>
      <c r="B19" s="171" t="s">
        <v>270</v>
      </c>
      <c r="C19" s="233">
        <f>+'Altri profili_2025_'!E19</f>
        <v>0</v>
      </c>
      <c r="D19" s="97"/>
      <c r="E19" s="234">
        <f t="shared" si="1"/>
        <v>0</v>
      </c>
      <c r="F19" s="235"/>
      <c r="G19" s="99"/>
      <c r="H19" s="97"/>
      <c r="I19" s="100">
        <f t="shared" si="2"/>
        <v>0</v>
      </c>
      <c r="J19" s="104"/>
      <c r="K19" s="170"/>
      <c r="L19" s="103"/>
      <c r="M19" s="103"/>
      <c r="N19" s="98"/>
      <c r="O19" s="92"/>
      <c r="U19" s="249" t="s">
        <v>262</v>
      </c>
    </row>
    <row r="20" spans="1:21" s="93" customFormat="1" ht="11.25">
      <c r="A20" s="94" t="s">
        <v>271</v>
      </c>
      <c r="B20" s="171" t="s">
        <v>272</v>
      </c>
      <c r="C20" s="233">
        <f>+'Altri profili_2025_'!E20</f>
        <v>0</v>
      </c>
      <c r="D20" s="97"/>
      <c r="E20" s="234">
        <f t="shared" si="1"/>
        <v>0</v>
      </c>
      <c r="F20" s="235"/>
      <c r="G20" s="99"/>
      <c r="H20" s="97"/>
      <c r="I20" s="100">
        <f t="shared" si="2"/>
        <v>0</v>
      </c>
      <c r="J20" s="104"/>
      <c r="K20" s="170"/>
      <c r="L20" s="103"/>
      <c r="M20" s="103"/>
      <c r="N20" s="98"/>
      <c r="O20" s="92"/>
      <c r="U20" s="249" t="s">
        <v>262</v>
      </c>
    </row>
    <row r="21" spans="1:21" s="93" customFormat="1" ht="11.25">
      <c r="A21" s="94" t="s">
        <v>273</v>
      </c>
      <c r="B21" s="171" t="s">
        <v>274</v>
      </c>
      <c r="C21" s="233">
        <f>+'Altri profili_2025_'!E21</f>
        <v>1</v>
      </c>
      <c r="D21" s="97"/>
      <c r="E21" s="234">
        <f t="shared" si="1"/>
        <v>1</v>
      </c>
      <c r="F21" s="235">
        <f>43*E21</f>
        <v>43</v>
      </c>
      <c r="G21" s="99"/>
      <c r="H21" s="97"/>
      <c r="I21" s="100">
        <f t="shared" si="2"/>
        <v>0</v>
      </c>
      <c r="J21" s="104"/>
      <c r="K21" s="170"/>
      <c r="L21" s="103"/>
      <c r="M21" s="103"/>
      <c r="N21" s="98"/>
      <c r="O21" s="92"/>
      <c r="U21" s="249" t="s">
        <v>262</v>
      </c>
    </row>
    <row r="22" spans="1:21" s="93" customFormat="1" ht="11.25">
      <c r="A22" s="94" t="s">
        <v>275</v>
      </c>
      <c r="B22" s="171" t="s">
        <v>276</v>
      </c>
      <c r="C22" s="233">
        <f>+'Altri profili_2025_'!E22</f>
        <v>1</v>
      </c>
      <c r="D22" s="97"/>
      <c r="E22" s="234">
        <f t="shared" si="1"/>
        <v>1</v>
      </c>
      <c r="F22" s="235">
        <f>+E22*37</f>
        <v>37</v>
      </c>
      <c r="G22" s="99">
        <v>0</v>
      </c>
      <c r="H22" s="97">
        <v>0</v>
      </c>
      <c r="I22" s="100">
        <f t="shared" si="2"/>
        <v>0</v>
      </c>
      <c r="J22" s="104"/>
      <c r="K22" s="170"/>
      <c r="L22" s="103"/>
      <c r="M22" s="103"/>
      <c r="N22" s="98"/>
      <c r="O22" s="92"/>
      <c r="U22" s="249" t="s">
        <v>262</v>
      </c>
    </row>
    <row r="23" spans="1:21" s="93" customFormat="1" ht="11.25">
      <c r="A23" s="94" t="s">
        <v>277</v>
      </c>
      <c r="B23" s="171" t="s">
        <v>278</v>
      </c>
      <c r="C23" s="233">
        <f>+'Altri profili_2025_'!E23</f>
        <v>0</v>
      </c>
      <c r="D23" s="97"/>
      <c r="E23" s="234">
        <f t="shared" si="1"/>
        <v>0</v>
      </c>
      <c r="F23" s="235"/>
      <c r="G23" s="99"/>
      <c r="H23" s="97"/>
      <c r="I23" s="100">
        <f t="shared" si="2"/>
        <v>0</v>
      </c>
      <c r="J23" s="104"/>
      <c r="K23" s="170"/>
      <c r="L23" s="103"/>
      <c r="M23" s="103"/>
      <c r="N23" s="98"/>
      <c r="O23" s="92"/>
      <c r="U23" s="249" t="s">
        <v>262</v>
      </c>
    </row>
    <row r="24" spans="1:21" s="93" customFormat="1" ht="11.25">
      <c r="A24" s="94" t="s">
        <v>279</v>
      </c>
      <c r="B24" s="171" t="s">
        <v>280</v>
      </c>
      <c r="C24" s="233">
        <f>+'Altri profili_2025_'!E24</f>
        <v>0</v>
      </c>
      <c r="D24" s="97"/>
      <c r="E24" s="234">
        <f t="shared" si="1"/>
        <v>0</v>
      </c>
      <c r="F24" s="235"/>
      <c r="G24" s="99"/>
      <c r="H24" s="97"/>
      <c r="I24" s="100">
        <f t="shared" si="2"/>
        <v>0</v>
      </c>
      <c r="J24" s="104"/>
      <c r="K24" s="170"/>
      <c r="L24" s="103"/>
      <c r="M24" s="103"/>
      <c r="N24" s="98"/>
      <c r="O24" s="92"/>
      <c r="U24" s="249" t="s">
        <v>262</v>
      </c>
    </row>
    <row r="25" spans="1:21" s="93" customFormat="1" ht="11.25">
      <c r="A25" s="94" t="s">
        <v>281</v>
      </c>
      <c r="B25" s="165" t="s">
        <v>282</v>
      </c>
      <c r="C25" s="233">
        <f>+'Altri profili_2025_'!E25</f>
        <v>0</v>
      </c>
      <c r="D25" s="97"/>
      <c r="E25" s="234">
        <f t="shared" si="1"/>
        <v>0</v>
      </c>
      <c r="F25" s="235"/>
      <c r="G25" s="99"/>
      <c r="H25" s="97"/>
      <c r="I25" s="100">
        <f t="shared" si="2"/>
        <v>0</v>
      </c>
      <c r="J25" s="104"/>
      <c r="K25" s="170"/>
      <c r="L25" s="103"/>
      <c r="M25" s="103"/>
      <c r="N25" s="98"/>
      <c r="O25" s="92"/>
      <c r="U25" s="249" t="s">
        <v>262</v>
      </c>
    </row>
    <row r="26" spans="1:21" s="93" customFormat="1" ht="11.25">
      <c r="A26" s="94" t="s">
        <v>283</v>
      </c>
      <c r="B26" s="171" t="s">
        <v>284</v>
      </c>
      <c r="C26" s="233">
        <f>+'Altri profili_2025_'!E26</f>
        <v>2</v>
      </c>
      <c r="D26" s="97"/>
      <c r="E26" s="234">
        <f t="shared" si="1"/>
        <v>2</v>
      </c>
      <c r="F26" s="235">
        <f>45*E26</f>
        <v>90</v>
      </c>
      <c r="G26" s="99">
        <v>0</v>
      </c>
      <c r="H26" s="97">
        <v>0</v>
      </c>
      <c r="I26" s="100">
        <f t="shared" si="2"/>
        <v>0</v>
      </c>
      <c r="J26" s="104"/>
      <c r="K26" s="170"/>
      <c r="L26" s="103"/>
      <c r="M26" s="103"/>
      <c r="N26" s="98"/>
      <c r="O26" s="92"/>
      <c r="U26" s="249" t="s">
        <v>259</v>
      </c>
    </row>
    <row r="27" spans="1:21" s="93" customFormat="1" ht="11.25">
      <c r="A27" s="94" t="s">
        <v>285</v>
      </c>
      <c r="B27" s="171" t="s">
        <v>286</v>
      </c>
      <c r="C27" s="233">
        <f>+'Altri profili_2025_'!E27</f>
        <v>0</v>
      </c>
      <c r="D27" s="97"/>
      <c r="E27" s="234">
        <f t="shared" si="1"/>
        <v>0</v>
      </c>
      <c r="F27" s="235"/>
      <c r="G27" s="99"/>
      <c r="H27" s="97"/>
      <c r="I27" s="100">
        <f t="shared" si="2"/>
        <v>0</v>
      </c>
      <c r="J27" s="104"/>
      <c r="K27" s="170"/>
      <c r="L27" s="103"/>
      <c r="M27" s="103"/>
      <c r="N27" s="98"/>
      <c r="O27" s="92"/>
      <c r="U27" s="249" t="s">
        <v>259</v>
      </c>
    </row>
    <row r="28" spans="1:21" s="93" customFormat="1" ht="11.25">
      <c r="A28" s="94" t="s">
        <v>287</v>
      </c>
      <c r="B28" s="171" t="s">
        <v>288</v>
      </c>
      <c r="C28" s="233">
        <f>+'Altri profili_2025_'!E28</f>
        <v>2</v>
      </c>
      <c r="D28" s="97"/>
      <c r="E28" s="234">
        <f t="shared" si="1"/>
        <v>2</v>
      </c>
      <c r="F28" s="235">
        <f>45*E28</f>
        <v>90</v>
      </c>
      <c r="G28" s="99">
        <v>0</v>
      </c>
      <c r="H28" s="97">
        <v>0</v>
      </c>
      <c r="I28" s="100">
        <f t="shared" si="2"/>
        <v>0</v>
      </c>
      <c r="J28" s="104"/>
      <c r="K28" s="170"/>
      <c r="L28" s="103"/>
      <c r="M28" s="103"/>
      <c r="N28" s="98"/>
      <c r="O28" s="92"/>
      <c r="U28" s="249" t="s">
        <v>259</v>
      </c>
    </row>
    <row r="29" spans="1:21" s="93" customFormat="1" ht="11.25">
      <c r="A29" s="94" t="s">
        <v>289</v>
      </c>
      <c r="B29" s="171" t="s">
        <v>290</v>
      </c>
      <c r="C29" s="233">
        <f>+'Altri profili_2025_'!E29</f>
        <v>0</v>
      </c>
      <c r="D29" s="97"/>
      <c r="E29" s="234">
        <f t="shared" si="1"/>
        <v>0</v>
      </c>
      <c r="F29" s="235"/>
      <c r="G29" s="99"/>
      <c r="H29" s="97"/>
      <c r="I29" s="100">
        <f t="shared" si="2"/>
        <v>0</v>
      </c>
      <c r="J29" s="104"/>
      <c r="K29" s="170"/>
      <c r="L29" s="103"/>
      <c r="M29" s="103"/>
      <c r="N29" s="98"/>
      <c r="O29" s="92"/>
      <c r="U29" s="249" t="s">
        <v>259</v>
      </c>
    </row>
    <row r="30" spans="1:21" s="93" customFormat="1" ht="11.25">
      <c r="A30" s="94" t="s">
        <v>291</v>
      </c>
      <c r="B30" s="171" t="s">
        <v>292</v>
      </c>
      <c r="C30" s="233">
        <f>+'Altri profili_2025_'!E30</f>
        <v>19</v>
      </c>
      <c r="D30" s="97"/>
      <c r="E30" s="234">
        <f t="shared" si="1"/>
        <v>19</v>
      </c>
      <c r="F30" s="235">
        <f>43*E30</f>
        <v>817</v>
      </c>
      <c r="G30" s="99">
        <v>0</v>
      </c>
      <c r="H30" s="97">
        <v>0</v>
      </c>
      <c r="I30" s="100">
        <f t="shared" si="2"/>
        <v>0</v>
      </c>
      <c r="J30" s="104"/>
      <c r="K30" s="170"/>
      <c r="L30" s="103"/>
      <c r="M30" s="103"/>
      <c r="N30" s="98"/>
      <c r="O30" s="92"/>
      <c r="U30" s="249" t="s">
        <v>259</v>
      </c>
    </row>
    <row r="31" spans="1:21" s="93" customFormat="1" ht="11.25">
      <c r="A31" s="94" t="s">
        <v>293</v>
      </c>
      <c r="B31" s="171" t="s">
        <v>294</v>
      </c>
      <c r="C31" s="233">
        <f>+'Altri profili_2025_'!E31</f>
        <v>8</v>
      </c>
      <c r="D31" s="97"/>
      <c r="E31" s="234">
        <f t="shared" si="1"/>
        <v>8</v>
      </c>
      <c r="F31" s="235">
        <f>43*E31</f>
        <v>344</v>
      </c>
      <c r="G31" s="99">
        <v>0</v>
      </c>
      <c r="H31" s="97">
        <v>0</v>
      </c>
      <c r="I31" s="100">
        <f t="shared" si="2"/>
        <v>0</v>
      </c>
      <c r="J31" s="104"/>
      <c r="K31" s="170"/>
      <c r="L31" s="103"/>
      <c r="M31" s="103"/>
      <c r="N31" s="98"/>
      <c r="O31" s="92"/>
      <c r="U31" s="249" t="s">
        <v>259</v>
      </c>
    </row>
    <row r="32" spans="1:21" s="93" customFormat="1" ht="11.25">
      <c r="A32" s="94" t="s">
        <v>295</v>
      </c>
      <c r="B32" s="171" t="s">
        <v>296</v>
      </c>
      <c r="C32" s="233">
        <f>+'Altri profili_2025_'!E32</f>
        <v>100</v>
      </c>
      <c r="D32" s="97"/>
      <c r="E32" s="234">
        <f t="shared" si="1"/>
        <v>100</v>
      </c>
      <c r="F32" s="235">
        <f>42*E32</f>
        <v>4200</v>
      </c>
      <c r="G32" s="99">
        <v>0</v>
      </c>
      <c r="H32" s="97">
        <v>0</v>
      </c>
      <c r="I32" s="100">
        <f t="shared" si="2"/>
        <v>0</v>
      </c>
      <c r="J32" s="104"/>
      <c r="K32" s="170"/>
      <c r="L32" s="103"/>
      <c r="M32" s="103"/>
      <c r="N32" s="98"/>
      <c r="O32" s="92"/>
      <c r="U32" s="249" t="s">
        <v>259</v>
      </c>
    </row>
    <row r="33" spans="1:21" s="93" customFormat="1" ht="11.25">
      <c r="A33" s="94" t="s">
        <v>297</v>
      </c>
      <c r="B33" s="171" t="s">
        <v>298</v>
      </c>
      <c r="C33" s="233">
        <f>+'Altri profili_2025_'!E33</f>
        <v>80</v>
      </c>
      <c r="D33" s="97"/>
      <c r="E33" s="234">
        <f t="shared" si="1"/>
        <v>80</v>
      </c>
      <c r="F33" s="235">
        <f>42*E33</f>
        <v>3360</v>
      </c>
      <c r="G33" s="99">
        <v>0</v>
      </c>
      <c r="H33" s="97">
        <v>0</v>
      </c>
      <c r="I33" s="100">
        <f t="shared" si="2"/>
        <v>0</v>
      </c>
      <c r="J33" s="104"/>
      <c r="K33" s="170"/>
      <c r="L33" s="103"/>
      <c r="M33" s="103"/>
      <c r="N33" s="98"/>
      <c r="O33" s="92"/>
      <c r="U33" s="249" t="s">
        <v>259</v>
      </c>
    </row>
    <row r="34" spans="1:21" s="93" customFormat="1" ht="11.25">
      <c r="A34" s="94" t="s">
        <v>299</v>
      </c>
      <c r="B34" s="171" t="s">
        <v>300</v>
      </c>
      <c r="C34" s="233">
        <f>+'Altri profili_2025_'!E34</f>
        <v>10</v>
      </c>
      <c r="D34" s="97"/>
      <c r="E34" s="234">
        <f t="shared" si="1"/>
        <v>10</v>
      </c>
      <c r="F34" s="235">
        <f>42*E34</f>
        <v>420</v>
      </c>
      <c r="G34" s="99"/>
      <c r="H34" s="97"/>
      <c r="I34" s="100">
        <f t="shared" si="2"/>
        <v>0</v>
      </c>
      <c r="J34" s="104"/>
      <c r="K34" s="170"/>
      <c r="L34" s="103"/>
      <c r="M34" s="103"/>
      <c r="N34" s="98"/>
      <c r="O34" s="92"/>
      <c r="U34" s="249" t="s">
        <v>259</v>
      </c>
    </row>
    <row r="35" spans="1:21" s="93" customFormat="1" ht="11.25">
      <c r="A35" s="94" t="s">
        <v>301</v>
      </c>
      <c r="B35" s="171" t="s">
        <v>302</v>
      </c>
      <c r="C35" s="233">
        <f>+'Altri profili_2025_'!E35</f>
        <v>1</v>
      </c>
      <c r="D35" s="97"/>
      <c r="E35" s="234">
        <f t="shared" si="1"/>
        <v>1</v>
      </c>
      <c r="F35" s="235">
        <v>42</v>
      </c>
      <c r="G35" s="99">
        <v>0</v>
      </c>
      <c r="H35" s="97">
        <v>0</v>
      </c>
      <c r="I35" s="100">
        <f t="shared" si="2"/>
        <v>0</v>
      </c>
      <c r="J35" s="104"/>
      <c r="K35" s="170"/>
      <c r="L35" s="103"/>
      <c r="M35" s="103"/>
      <c r="N35" s="98"/>
      <c r="O35" s="92"/>
      <c r="U35" s="249" t="s">
        <v>259</v>
      </c>
    </row>
    <row r="36" spans="1:21" s="93" customFormat="1" ht="11.25">
      <c r="A36" s="94" t="s">
        <v>303</v>
      </c>
      <c r="B36" s="171" t="s">
        <v>304</v>
      </c>
      <c r="C36" s="233">
        <f>+'Altri profili_2025_'!E36</f>
        <v>0</v>
      </c>
      <c r="D36" s="97"/>
      <c r="E36" s="234">
        <f t="shared" si="1"/>
        <v>0</v>
      </c>
      <c r="F36" s="235"/>
      <c r="G36" s="99"/>
      <c r="H36" s="97"/>
      <c r="I36" s="100">
        <f t="shared" si="2"/>
        <v>0</v>
      </c>
      <c r="J36" s="104"/>
      <c r="K36" s="170"/>
      <c r="L36" s="103"/>
      <c r="M36" s="103"/>
      <c r="N36" s="98"/>
      <c r="O36" s="92"/>
      <c r="U36" s="249" t="s">
        <v>259</v>
      </c>
    </row>
    <row r="37" spans="1:21" s="93" customFormat="1" ht="11.25">
      <c r="A37" s="94" t="s">
        <v>305</v>
      </c>
      <c r="B37" s="171" t="s">
        <v>306</v>
      </c>
      <c r="C37" s="233">
        <f>+'Altri profili_2025_'!E37</f>
        <v>0</v>
      </c>
      <c r="D37" s="97"/>
      <c r="E37" s="234">
        <f t="shared" si="1"/>
        <v>0</v>
      </c>
      <c r="F37" s="235"/>
      <c r="G37" s="99"/>
      <c r="H37" s="97"/>
      <c r="I37" s="100">
        <f t="shared" si="2"/>
        <v>0</v>
      </c>
      <c r="J37" s="104"/>
      <c r="K37" s="170"/>
      <c r="L37" s="103"/>
      <c r="M37" s="103"/>
      <c r="N37" s="98"/>
      <c r="O37" s="92"/>
      <c r="U37" s="249" t="s">
        <v>259</v>
      </c>
    </row>
    <row r="38" spans="1:21" s="93" customFormat="1" ht="11.25">
      <c r="A38" s="94" t="s">
        <v>307</v>
      </c>
      <c r="B38" s="171" t="s">
        <v>308</v>
      </c>
      <c r="C38" s="233">
        <f>+'Altri profili_2025_'!E38</f>
        <v>4</v>
      </c>
      <c r="D38" s="97"/>
      <c r="E38" s="234">
        <f t="shared" si="1"/>
        <v>4</v>
      </c>
      <c r="F38" s="235">
        <f>38*E38</f>
        <v>152</v>
      </c>
      <c r="G38" s="99">
        <v>0</v>
      </c>
      <c r="H38" s="97">
        <v>0</v>
      </c>
      <c r="I38" s="100">
        <f t="shared" si="2"/>
        <v>0</v>
      </c>
      <c r="J38" s="104"/>
      <c r="K38" s="170"/>
      <c r="L38" s="103"/>
      <c r="M38" s="103"/>
      <c r="N38" s="98"/>
      <c r="O38" s="92"/>
      <c r="U38" s="249" t="s">
        <v>259</v>
      </c>
    </row>
    <row r="39" spans="1:21" s="93" customFormat="1" ht="11.25">
      <c r="A39" s="94" t="s">
        <v>309</v>
      </c>
      <c r="B39" s="171" t="s">
        <v>310</v>
      </c>
      <c r="C39" s="233">
        <f>+'Altri profili_2025_'!E39</f>
        <v>3</v>
      </c>
      <c r="D39" s="97">
        <v>1</v>
      </c>
      <c r="E39" s="234">
        <f t="shared" ref="E39:E70" si="3">+D39+C39</f>
        <v>4</v>
      </c>
      <c r="F39" s="235">
        <f>42*E39</f>
        <v>168</v>
      </c>
      <c r="G39" s="99">
        <v>0</v>
      </c>
      <c r="H39" s="97">
        <v>0</v>
      </c>
      <c r="I39" s="100">
        <f t="shared" ref="I39:I70" si="4">+G39-H39</f>
        <v>0</v>
      </c>
      <c r="J39" s="104"/>
      <c r="K39" s="170"/>
      <c r="L39" s="103"/>
      <c r="M39" s="103"/>
      <c r="N39" s="98"/>
      <c r="O39" s="92"/>
      <c r="U39" s="249" t="s">
        <v>259</v>
      </c>
    </row>
    <row r="40" spans="1:21" s="93" customFormat="1" ht="11.25">
      <c r="A40" s="94" t="s">
        <v>311</v>
      </c>
      <c r="B40" s="171" t="s">
        <v>312</v>
      </c>
      <c r="C40" s="233">
        <f>+'Altri profili_2025_'!E40</f>
        <v>6</v>
      </c>
      <c r="D40" s="97"/>
      <c r="E40" s="234">
        <f t="shared" si="3"/>
        <v>6</v>
      </c>
      <c r="F40" s="235">
        <f>42*E40</f>
        <v>252</v>
      </c>
      <c r="G40" s="99">
        <v>0</v>
      </c>
      <c r="H40" s="97">
        <v>0</v>
      </c>
      <c r="I40" s="100">
        <f t="shared" si="4"/>
        <v>0</v>
      </c>
      <c r="J40" s="104"/>
      <c r="K40" s="170"/>
      <c r="L40" s="103"/>
      <c r="M40" s="103"/>
      <c r="N40" s="98"/>
      <c r="O40" s="92"/>
      <c r="U40" s="249" t="s">
        <v>313</v>
      </c>
    </row>
    <row r="41" spans="1:21" s="93" customFormat="1" ht="11.25">
      <c r="A41" s="94" t="s">
        <v>314</v>
      </c>
      <c r="B41" s="171" t="s">
        <v>315</v>
      </c>
      <c r="C41" s="233">
        <f>+'Altri profili_2025_'!E41</f>
        <v>1</v>
      </c>
      <c r="D41" s="97">
        <v>1</v>
      </c>
      <c r="E41" s="234">
        <f t="shared" si="3"/>
        <v>2</v>
      </c>
      <c r="F41" s="235">
        <f>100*E41</f>
        <v>200</v>
      </c>
      <c r="G41" s="99">
        <v>0</v>
      </c>
      <c r="H41" s="97">
        <v>0</v>
      </c>
      <c r="I41" s="100">
        <f t="shared" si="4"/>
        <v>0</v>
      </c>
      <c r="J41" s="104"/>
      <c r="K41" s="170"/>
      <c r="L41" s="103"/>
      <c r="M41" s="103"/>
      <c r="N41" s="98"/>
      <c r="O41" s="92"/>
      <c r="U41" s="249" t="s">
        <v>316</v>
      </c>
    </row>
    <row r="42" spans="1:21" s="93" customFormat="1" ht="11.25">
      <c r="A42" s="94" t="s">
        <v>317</v>
      </c>
      <c r="B42" s="171" t="s">
        <v>318</v>
      </c>
      <c r="C42" s="233">
        <f>+'Altri profili_2025_'!E42</f>
        <v>0</v>
      </c>
      <c r="D42" s="97"/>
      <c r="E42" s="234">
        <f t="shared" si="3"/>
        <v>0</v>
      </c>
      <c r="F42" s="235"/>
      <c r="G42" s="99"/>
      <c r="H42" s="97"/>
      <c r="I42" s="100">
        <f t="shared" si="4"/>
        <v>0</v>
      </c>
      <c r="J42" s="104"/>
      <c r="K42" s="170"/>
      <c r="L42" s="103"/>
      <c r="M42" s="103"/>
      <c r="N42" s="98"/>
      <c r="O42" s="92"/>
      <c r="U42" s="249" t="s">
        <v>316</v>
      </c>
    </row>
    <row r="43" spans="1:21" s="93" customFormat="1" ht="11.25">
      <c r="A43" s="94" t="s">
        <v>319</v>
      </c>
      <c r="B43" s="171" t="s">
        <v>320</v>
      </c>
      <c r="C43" s="233">
        <f>+'Altri profili_2025_'!E43</f>
        <v>0</v>
      </c>
      <c r="D43" s="97"/>
      <c r="E43" s="234">
        <f t="shared" si="3"/>
        <v>0</v>
      </c>
      <c r="F43" s="235"/>
      <c r="G43" s="99"/>
      <c r="H43" s="97"/>
      <c r="I43" s="100">
        <f t="shared" si="4"/>
        <v>0</v>
      </c>
      <c r="J43" s="104"/>
      <c r="K43" s="170"/>
      <c r="L43" s="103"/>
      <c r="M43" s="103"/>
      <c r="N43" s="98"/>
      <c r="O43" s="92"/>
      <c r="U43" s="249" t="s">
        <v>316</v>
      </c>
    </row>
    <row r="44" spans="1:21" s="93" customFormat="1" ht="11.25">
      <c r="A44" s="94" t="s">
        <v>321</v>
      </c>
      <c r="B44" s="171" t="s">
        <v>322</v>
      </c>
      <c r="C44" s="233">
        <f>+'Altri profili_2025_'!E44</f>
        <v>0</v>
      </c>
      <c r="D44" s="97"/>
      <c r="E44" s="234">
        <f t="shared" si="3"/>
        <v>0</v>
      </c>
      <c r="F44" s="235"/>
      <c r="G44" s="99"/>
      <c r="H44" s="97"/>
      <c r="I44" s="100">
        <f t="shared" si="4"/>
        <v>0</v>
      </c>
      <c r="J44" s="104"/>
      <c r="K44" s="170"/>
      <c r="L44" s="103"/>
      <c r="M44" s="103"/>
      <c r="N44" s="98"/>
      <c r="O44" s="92"/>
      <c r="U44" s="249" t="s">
        <v>316</v>
      </c>
    </row>
    <row r="45" spans="1:21" s="93" customFormat="1" ht="11.25">
      <c r="A45" s="94" t="s">
        <v>323</v>
      </c>
      <c r="B45" s="171" t="s">
        <v>324</v>
      </c>
      <c r="C45" s="233">
        <f>+'Altri profili_2025_'!E45</f>
        <v>20</v>
      </c>
      <c r="D45" s="97"/>
      <c r="E45" s="234">
        <f t="shared" si="3"/>
        <v>20</v>
      </c>
      <c r="F45" s="235">
        <f>35*E45</f>
        <v>700</v>
      </c>
      <c r="G45" s="99">
        <v>0</v>
      </c>
      <c r="H45" s="97">
        <v>0</v>
      </c>
      <c r="I45" s="100">
        <f t="shared" si="4"/>
        <v>0</v>
      </c>
      <c r="J45" s="104"/>
      <c r="K45" s="170"/>
      <c r="L45" s="103"/>
      <c r="M45" s="103"/>
      <c r="N45" s="98"/>
      <c r="O45" s="92"/>
      <c r="U45" s="249" t="s">
        <v>313</v>
      </c>
    </row>
    <row r="46" spans="1:21" s="93" customFormat="1" ht="11.25">
      <c r="A46" s="94" t="s">
        <v>325</v>
      </c>
      <c r="B46" s="171" t="s">
        <v>326</v>
      </c>
      <c r="C46" s="233">
        <f>+'Altri profili_2025_'!E46</f>
        <v>0</v>
      </c>
      <c r="D46" s="97"/>
      <c r="E46" s="234">
        <f t="shared" si="3"/>
        <v>0</v>
      </c>
      <c r="F46" s="235"/>
      <c r="G46" s="99"/>
      <c r="H46" s="97"/>
      <c r="I46" s="100">
        <f t="shared" si="4"/>
        <v>0</v>
      </c>
      <c r="J46" s="104"/>
      <c r="K46" s="170"/>
      <c r="L46" s="103"/>
      <c r="M46" s="103"/>
      <c r="N46" s="98"/>
      <c r="O46" s="92"/>
      <c r="U46" s="249" t="s">
        <v>313</v>
      </c>
    </row>
    <row r="47" spans="1:21" s="93" customFormat="1" ht="11.25">
      <c r="A47" s="94" t="s">
        <v>327</v>
      </c>
      <c r="B47" s="171" t="s">
        <v>328</v>
      </c>
      <c r="C47" s="233">
        <f>+'Altri profili_2025_'!E47</f>
        <v>12</v>
      </c>
      <c r="D47" s="97"/>
      <c r="E47" s="234">
        <f t="shared" si="3"/>
        <v>12</v>
      </c>
      <c r="F47" s="235">
        <f>40*E47</f>
        <v>480</v>
      </c>
      <c r="G47" s="99">
        <v>0</v>
      </c>
      <c r="H47" s="97">
        <v>0</v>
      </c>
      <c r="I47" s="100">
        <f t="shared" si="4"/>
        <v>0</v>
      </c>
      <c r="J47" s="104"/>
      <c r="K47" s="170"/>
      <c r="L47" s="103"/>
      <c r="M47" s="103"/>
      <c r="N47" s="98"/>
      <c r="O47" s="92"/>
      <c r="U47" s="249" t="s">
        <v>313</v>
      </c>
    </row>
    <row r="48" spans="1:21" s="93" customFormat="1" ht="11.25">
      <c r="A48" s="94" t="s">
        <v>329</v>
      </c>
      <c r="B48" s="171" t="s">
        <v>330</v>
      </c>
      <c r="C48" s="233">
        <f>+'Altri profili_2025_'!E48</f>
        <v>71</v>
      </c>
      <c r="D48" s="97">
        <v>9</v>
      </c>
      <c r="E48" s="234">
        <f t="shared" si="3"/>
        <v>80</v>
      </c>
      <c r="F48" s="235">
        <f>35*E48</f>
        <v>2800</v>
      </c>
      <c r="G48" s="99">
        <v>0</v>
      </c>
      <c r="H48" s="97">
        <v>0</v>
      </c>
      <c r="I48" s="100">
        <f t="shared" si="4"/>
        <v>0</v>
      </c>
      <c r="J48" s="104"/>
      <c r="K48" s="170"/>
      <c r="L48" s="103"/>
      <c r="M48" s="103"/>
      <c r="N48" s="98"/>
      <c r="O48" s="92"/>
      <c r="U48" s="249" t="s">
        <v>313</v>
      </c>
    </row>
    <row r="49" spans="1:21" s="93" customFormat="1" ht="11.25">
      <c r="A49" s="94" t="s">
        <v>331</v>
      </c>
      <c r="B49" s="171" t="s">
        <v>332</v>
      </c>
      <c r="C49" s="233">
        <f>+'Altri profili_2025_'!E49</f>
        <v>0</v>
      </c>
      <c r="D49" s="97"/>
      <c r="E49" s="234">
        <f t="shared" si="3"/>
        <v>0</v>
      </c>
      <c r="F49" s="235"/>
      <c r="G49" s="99"/>
      <c r="H49" s="97"/>
      <c r="I49" s="100">
        <f t="shared" si="4"/>
        <v>0</v>
      </c>
      <c r="J49" s="104"/>
      <c r="K49" s="170"/>
      <c r="L49" s="103"/>
      <c r="M49" s="103"/>
      <c r="N49" s="98"/>
      <c r="O49" s="92"/>
      <c r="U49" s="249" t="s">
        <v>313</v>
      </c>
    </row>
    <row r="50" spans="1:21" s="93" customFormat="1" ht="11.25">
      <c r="A50" s="94" t="s">
        <v>333</v>
      </c>
      <c r="B50" s="171" t="s">
        <v>334</v>
      </c>
      <c r="C50" s="233">
        <f>+'Altri profili_2025_'!E50</f>
        <v>0</v>
      </c>
      <c r="D50" s="97"/>
      <c r="E50" s="234">
        <f t="shared" si="3"/>
        <v>0</v>
      </c>
      <c r="F50" s="235"/>
      <c r="G50" s="99"/>
      <c r="H50" s="97"/>
      <c r="I50" s="100">
        <f t="shared" si="4"/>
        <v>0</v>
      </c>
      <c r="J50" s="104"/>
      <c r="K50" s="170"/>
      <c r="L50" s="103"/>
      <c r="M50" s="103"/>
      <c r="N50" s="98"/>
      <c r="O50" s="92"/>
      <c r="U50" s="249" t="s">
        <v>313</v>
      </c>
    </row>
    <row r="51" spans="1:21" s="93" customFormat="1" ht="11.25">
      <c r="A51" s="94" t="s">
        <v>335</v>
      </c>
      <c r="B51" s="171" t="s">
        <v>336</v>
      </c>
      <c r="C51" s="233">
        <f>+'Altri profili_2025_'!E51</f>
        <v>0</v>
      </c>
      <c r="D51" s="97"/>
      <c r="E51" s="234">
        <f t="shared" si="3"/>
        <v>0</v>
      </c>
      <c r="F51" s="235"/>
      <c r="G51" s="99"/>
      <c r="H51" s="97"/>
      <c r="I51" s="100">
        <f t="shared" si="4"/>
        <v>0</v>
      </c>
      <c r="J51" s="104"/>
      <c r="K51" s="170"/>
      <c r="L51" s="103"/>
      <c r="M51" s="103"/>
      <c r="N51" s="98"/>
      <c r="O51" s="92"/>
      <c r="U51" s="249" t="s">
        <v>337</v>
      </c>
    </row>
    <row r="52" spans="1:21" s="93" customFormat="1" ht="11.25">
      <c r="A52" s="94" t="s">
        <v>338</v>
      </c>
      <c r="B52" s="171" t="s">
        <v>339</v>
      </c>
      <c r="C52" s="233">
        <f>+'Altri profili_2025_'!E52</f>
        <v>1</v>
      </c>
      <c r="D52" s="97"/>
      <c r="E52" s="234">
        <f t="shared" si="3"/>
        <v>1</v>
      </c>
      <c r="F52" s="235">
        <v>101</v>
      </c>
      <c r="G52" s="99"/>
      <c r="H52" s="97"/>
      <c r="I52" s="100">
        <f t="shared" si="4"/>
        <v>0</v>
      </c>
      <c r="J52" s="104"/>
      <c r="K52" s="170"/>
      <c r="L52" s="103"/>
      <c r="M52" s="103"/>
      <c r="N52" s="98"/>
      <c r="O52" s="92"/>
      <c r="U52" s="249" t="s">
        <v>340</v>
      </c>
    </row>
    <row r="53" spans="1:21" s="93" customFormat="1" ht="11.25">
      <c r="A53" s="94" t="s">
        <v>341</v>
      </c>
      <c r="B53" s="171" t="s">
        <v>342</v>
      </c>
      <c r="C53" s="233">
        <f>+'Altri profili_2025_'!E53</f>
        <v>7</v>
      </c>
      <c r="D53" s="97"/>
      <c r="E53" s="234">
        <f t="shared" si="3"/>
        <v>7</v>
      </c>
      <c r="F53" s="235">
        <f>90*E53</f>
        <v>630</v>
      </c>
      <c r="G53" s="99">
        <v>0</v>
      </c>
      <c r="H53" s="97">
        <v>0</v>
      </c>
      <c r="I53" s="100">
        <f t="shared" si="4"/>
        <v>0</v>
      </c>
      <c r="J53" s="104"/>
      <c r="K53" s="170"/>
      <c r="L53" s="103"/>
      <c r="M53" s="103"/>
      <c r="N53" s="98"/>
      <c r="O53" s="92"/>
      <c r="U53" s="249" t="s">
        <v>340</v>
      </c>
    </row>
    <row r="54" spans="1:21" s="93" customFormat="1" ht="11.25">
      <c r="A54" s="94" t="s">
        <v>343</v>
      </c>
      <c r="B54" s="171" t="s">
        <v>344</v>
      </c>
      <c r="C54" s="233">
        <f>+'Altri profili_2025_'!E54</f>
        <v>34</v>
      </c>
      <c r="D54" s="97"/>
      <c r="E54" s="234">
        <f t="shared" si="3"/>
        <v>34</v>
      </c>
      <c r="F54" s="235">
        <f>90*E54</f>
        <v>3060</v>
      </c>
      <c r="G54" s="99">
        <v>0</v>
      </c>
      <c r="H54" s="97">
        <v>0</v>
      </c>
      <c r="I54" s="100">
        <f t="shared" si="4"/>
        <v>0</v>
      </c>
      <c r="J54" s="104"/>
      <c r="K54" s="170"/>
      <c r="L54" s="103"/>
      <c r="M54" s="103"/>
      <c r="N54" s="98"/>
      <c r="O54" s="92"/>
      <c r="U54" s="249" t="s">
        <v>340</v>
      </c>
    </row>
    <row r="55" spans="1:21" s="93" customFormat="1" ht="11.25">
      <c r="A55" s="94" t="s">
        <v>345</v>
      </c>
      <c r="B55" s="171" t="s">
        <v>346</v>
      </c>
      <c r="C55" s="233">
        <f>+'Altri profili_2025_'!E55</f>
        <v>0</v>
      </c>
      <c r="D55" s="97"/>
      <c r="E55" s="234">
        <f t="shared" si="3"/>
        <v>0</v>
      </c>
      <c r="F55" s="235"/>
      <c r="G55" s="99"/>
      <c r="H55" s="97"/>
      <c r="I55" s="100">
        <f t="shared" si="4"/>
        <v>0</v>
      </c>
      <c r="J55" s="104"/>
      <c r="K55" s="170"/>
      <c r="L55" s="103"/>
      <c r="M55" s="103"/>
      <c r="N55" s="98"/>
      <c r="O55" s="92"/>
      <c r="U55" s="249" t="s">
        <v>340</v>
      </c>
    </row>
    <row r="56" spans="1:21" s="93" customFormat="1" ht="11.25">
      <c r="A56" s="94" t="s">
        <v>347</v>
      </c>
      <c r="B56" s="171" t="s">
        <v>348</v>
      </c>
      <c r="C56" s="233">
        <f>+'Altri profili_2025_'!E56</f>
        <v>5</v>
      </c>
      <c r="D56" s="97"/>
      <c r="E56" s="234">
        <f t="shared" si="3"/>
        <v>5</v>
      </c>
      <c r="F56" s="235">
        <f>90*E56</f>
        <v>450</v>
      </c>
      <c r="G56" s="99">
        <v>0</v>
      </c>
      <c r="H56" s="97">
        <v>0</v>
      </c>
      <c r="I56" s="100">
        <f t="shared" si="4"/>
        <v>0</v>
      </c>
      <c r="J56" s="104"/>
      <c r="K56" s="170"/>
      <c r="L56" s="103"/>
      <c r="M56" s="103"/>
      <c r="N56" s="98"/>
      <c r="O56" s="92"/>
      <c r="U56" s="249" t="s">
        <v>340</v>
      </c>
    </row>
    <row r="57" spans="1:21" s="93" customFormat="1" ht="11.25">
      <c r="A57" s="94" t="s">
        <v>349</v>
      </c>
      <c r="B57" s="171" t="s">
        <v>350</v>
      </c>
      <c r="C57" s="233">
        <f>+'Altri profili_2025_'!E57</f>
        <v>1</v>
      </c>
      <c r="D57" s="97">
        <v>1</v>
      </c>
      <c r="E57" s="234">
        <f t="shared" si="3"/>
        <v>2</v>
      </c>
      <c r="F57" s="235">
        <f>90*E57</f>
        <v>180</v>
      </c>
      <c r="G57" s="99">
        <v>0</v>
      </c>
      <c r="H57" s="97">
        <v>0</v>
      </c>
      <c r="I57" s="100">
        <f t="shared" si="4"/>
        <v>0</v>
      </c>
      <c r="J57" s="104"/>
      <c r="K57" s="170"/>
      <c r="L57" s="103"/>
      <c r="M57" s="103"/>
      <c r="N57" s="98"/>
      <c r="O57" s="92"/>
      <c r="U57" s="249" t="s">
        <v>340</v>
      </c>
    </row>
    <row r="58" spans="1:21" s="93" customFormat="1" ht="11.25">
      <c r="A58" s="94" t="s">
        <v>351</v>
      </c>
      <c r="B58" s="171" t="s">
        <v>352</v>
      </c>
      <c r="C58" s="233">
        <f>+'Altri profili_2025_'!E58</f>
        <v>4</v>
      </c>
      <c r="D58" s="97"/>
      <c r="E58" s="234">
        <f t="shared" si="3"/>
        <v>4</v>
      </c>
      <c r="F58" s="235">
        <f>90*E58</f>
        <v>360</v>
      </c>
      <c r="G58" s="99">
        <v>0</v>
      </c>
      <c r="H58" s="97">
        <v>0</v>
      </c>
      <c r="I58" s="100">
        <f t="shared" si="4"/>
        <v>0</v>
      </c>
      <c r="J58" s="104"/>
      <c r="K58" s="170"/>
      <c r="L58" s="103"/>
      <c r="M58" s="103"/>
      <c r="N58" s="98"/>
      <c r="O58" s="92"/>
      <c r="U58" s="249" t="s">
        <v>340</v>
      </c>
    </row>
    <row r="59" spans="1:21" s="93" customFormat="1" ht="11.25">
      <c r="A59" s="94" t="s">
        <v>353</v>
      </c>
      <c r="B59" s="171" t="s">
        <v>354</v>
      </c>
      <c r="C59" s="233">
        <f>+'Altri profili_2025_'!E59</f>
        <v>0</v>
      </c>
      <c r="D59" s="97">
        <v>1</v>
      </c>
      <c r="E59" s="234">
        <f t="shared" si="3"/>
        <v>1</v>
      </c>
      <c r="F59" s="235">
        <v>90</v>
      </c>
      <c r="G59" s="99">
        <v>0</v>
      </c>
      <c r="H59" s="97"/>
      <c r="I59" s="100">
        <f t="shared" si="4"/>
        <v>0</v>
      </c>
      <c r="J59" s="104"/>
      <c r="K59" s="170"/>
      <c r="L59" s="103"/>
      <c r="M59" s="103"/>
      <c r="N59" s="98"/>
      <c r="O59" s="92"/>
      <c r="U59" s="249" t="s">
        <v>340</v>
      </c>
    </row>
    <row r="60" spans="1:21" s="93" customFormat="1" ht="11.25">
      <c r="A60" s="94" t="s">
        <v>355</v>
      </c>
      <c r="B60" s="171" t="s">
        <v>356</v>
      </c>
      <c r="C60" s="233">
        <f>+'Altri profili_2025_'!E60</f>
        <v>9</v>
      </c>
      <c r="D60" s="97"/>
      <c r="E60" s="234">
        <f t="shared" si="3"/>
        <v>9</v>
      </c>
      <c r="F60" s="235">
        <f>90*E60</f>
        <v>810</v>
      </c>
      <c r="G60" s="99">
        <v>0</v>
      </c>
      <c r="H60" s="97">
        <v>0</v>
      </c>
      <c r="I60" s="100">
        <f t="shared" si="4"/>
        <v>0</v>
      </c>
      <c r="J60" s="104"/>
      <c r="K60" s="170"/>
      <c r="L60" s="103"/>
      <c r="M60" s="103"/>
      <c r="N60" s="98"/>
      <c r="O60" s="92"/>
      <c r="U60" s="249" t="s">
        <v>340</v>
      </c>
    </row>
    <row r="61" spans="1:21" s="93" customFormat="1" ht="11.25">
      <c r="A61" s="94" t="s">
        <v>357</v>
      </c>
      <c r="B61" s="171" t="s">
        <v>358</v>
      </c>
      <c r="C61" s="233">
        <f>+'Altri profili_2025_'!E61</f>
        <v>7</v>
      </c>
      <c r="D61" s="97">
        <v>8</v>
      </c>
      <c r="E61" s="234">
        <f t="shared" si="3"/>
        <v>15</v>
      </c>
      <c r="F61" s="235">
        <f>100*E61</f>
        <v>1500</v>
      </c>
      <c r="G61" s="99">
        <v>0</v>
      </c>
      <c r="H61" s="97">
        <v>0</v>
      </c>
      <c r="I61" s="100">
        <f t="shared" si="4"/>
        <v>0</v>
      </c>
      <c r="J61" s="104"/>
      <c r="K61" s="170"/>
      <c r="L61" s="103"/>
      <c r="M61" s="103"/>
      <c r="N61" s="98"/>
      <c r="O61" s="92"/>
      <c r="U61" s="249" t="s">
        <v>316</v>
      </c>
    </row>
    <row r="62" spans="1:21" s="93" customFormat="1" ht="11.25">
      <c r="A62" s="94" t="s">
        <v>359</v>
      </c>
      <c r="B62" s="171" t="s">
        <v>360</v>
      </c>
      <c r="C62" s="233">
        <f>+'Altri profili_2025_'!E62</f>
        <v>38</v>
      </c>
      <c r="D62" s="97">
        <v>2</v>
      </c>
      <c r="E62" s="234">
        <f t="shared" si="3"/>
        <v>40</v>
      </c>
      <c r="F62" s="235">
        <f>35*E62</f>
        <v>1400</v>
      </c>
      <c r="G62" s="99">
        <v>0</v>
      </c>
      <c r="H62" s="97">
        <v>0</v>
      </c>
      <c r="I62" s="100">
        <f t="shared" si="4"/>
        <v>0</v>
      </c>
      <c r="J62" s="104"/>
      <c r="K62" s="170"/>
      <c r="L62" s="103"/>
      <c r="M62" s="103"/>
      <c r="N62" s="98"/>
      <c r="O62" s="92"/>
      <c r="U62" s="249" t="s">
        <v>361</v>
      </c>
    </row>
    <row r="63" spans="1:21" s="93" customFormat="1" ht="11.25">
      <c r="A63" s="94" t="s">
        <v>362</v>
      </c>
      <c r="B63" s="171" t="s">
        <v>363</v>
      </c>
      <c r="C63" s="233">
        <f>+'Altri profili_2025_'!E63</f>
        <v>17</v>
      </c>
      <c r="D63" s="97">
        <v>6</v>
      </c>
      <c r="E63" s="234">
        <f t="shared" si="3"/>
        <v>23</v>
      </c>
      <c r="F63" s="235">
        <f>30*E63</f>
        <v>690</v>
      </c>
      <c r="G63" s="99">
        <v>0</v>
      </c>
      <c r="H63" s="97">
        <v>0</v>
      </c>
      <c r="I63" s="100">
        <f t="shared" si="4"/>
        <v>0</v>
      </c>
      <c r="J63" s="104"/>
      <c r="K63" s="170"/>
      <c r="L63" s="103"/>
      <c r="M63" s="103"/>
      <c r="N63" s="98"/>
      <c r="O63" s="92"/>
      <c r="U63" s="249" t="s">
        <v>361</v>
      </c>
    </row>
    <row r="64" spans="1:21" s="93" customFormat="1" ht="11.25">
      <c r="A64" s="94" t="s">
        <v>364</v>
      </c>
      <c r="B64" s="171" t="s">
        <v>365</v>
      </c>
      <c r="C64" s="233">
        <f>+'Altri profili_2025_'!E64</f>
        <v>63</v>
      </c>
      <c r="D64" s="97">
        <v>10</v>
      </c>
      <c r="E64" s="234">
        <f t="shared" si="3"/>
        <v>73</v>
      </c>
      <c r="F64" s="235">
        <f>33*E64</f>
        <v>2409</v>
      </c>
      <c r="G64" s="99">
        <v>0</v>
      </c>
      <c r="H64" s="97">
        <v>0</v>
      </c>
      <c r="I64" s="100">
        <f t="shared" si="4"/>
        <v>0</v>
      </c>
      <c r="J64" s="104"/>
      <c r="K64" s="170"/>
      <c r="L64" s="103"/>
      <c r="M64" s="103"/>
      <c r="N64" s="98"/>
      <c r="O64" s="92"/>
      <c r="U64" s="249" t="s">
        <v>361</v>
      </c>
    </row>
    <row r="65" spans="1:21" s="93" customFormat="1" ht="11.25">
      <c r="A65" s="94" t="s">
        <v>366</v>
      </c>
      <c r="B65" s="171" t="s">
        <v>367</v>
      </c>
      <c r="C65" s="233">
        <f>+'Altri profili_2025_'!E65</f>
        <v>45</v>
      </c>
      <c r="D65" s="97">
        <v>7</v>
      </c>
      <c r="E65" s="234">
        <f t="shared" si="3"/>
        <v>52</v>
      </c>
      <c r="F65" s="235">
        <f>41*E65</f>
        <v>2132</v>
      </c>
      <c r="G65" s="99">
        <v>0</v>
      </c>
      <c r="H65" s="97">
        <v>0</v>
      </c>
      <c r="I65" s="100">
        <f t="shared" si="4"/>
        <v>0</v>
      </c>
      <c r="J65" s="104"/>
      <c r="K65" s="170"/>
      <c r="L65" s="103"/>
      <c r="M65" s="103"/>
      <c r="N65" s="98"/>
      <c r="O65" s="92"/>
      <c r="U65" s="249" t="s">
        <v>361</v>
      </c>
    </row>
    <row r="66" spans="1:21" s="93" customFormat="1" ht="11.25">
      <c r="A66" s="94" t="s">
        <v>368</v>
      </c>
      <c r="B66" s="171" t="s">
        <v>369</v>
      </c>
      <c r="C66" s="233">
        <f>+'Altri profili_2025_'!E66</f>
        <v>0</v>
      </c>
      <c r="D66" s="97"/>
      <c r="E66" s="234">
        <f t="shared" si="3"/>
        <v>0</v>
      </c>
      <c r="F66" s="235"/>
      <c r="G66" s="99"/>
      <c r="H66" s="97"/>
      <c r="I66" s="100">
        <f t="shared" si="4"/>
        <v>0</v>
      </c>
      <c r="J66" s="104"/>
      <c r="K66" s="170"/>
      <c r="L66" s="103"/>
      <c r="M66" s="103"/>
      <c r="N66" s="98"/>
      <c r="O66" s="92"/>
      <c r="U66" s="249" t="s">
        <v>361</v>
      </c>
    </row>
    <row r="67" spans="1:21" s="93" customFormat="1" ht="11.25">
      <c r="A67" s="94" t="s">
        <v>370</v>
      </c>
      <c r="B67" s="171" t="s">
        <v>334</v>
      </c>
      <c r="C67" s="233">
        <f>+'Altri profili_2025_'!E67</f>
        <v>0</v>
      </c>
      <c r="D67" s="97"/>
      <c r="E67" s="234">
        <f t="shared" si="3"/>
        <v>0</v>
      </c>
      <c r="F67" s="235"/>
      <c r="G67" s="99"/>
      <c r="H67" s="97"/>
      <c r="I67" s="100">
        <f t="shared" si="4"/>
        <v>0</v>
      </c>
      <c r="J67" s="104"/>
      <c r="K67" s="170"/>
      <c r="L67" s="103"/>
      <c r="M67" s="103"/>
      <c r="N67" s="98"/>
      <c r="O67" s="92"/>
      <c r="U67" s="249" t="s">
        <v>361</v>
      </c>
    </row>
    <row r="68" spans="1:21" s="93" customFormat="1" ht="11.25">
      <c r="A68" s="94" t="s">
        <v>371</v>
      </c>
      <c r="B68" s="171" t="s">
        <v>372</v>
      </c>
      <c r="C68" s="233">
        <f>+'Altri profili_2025_'!E68</f>
        <v>0</v>
      </c>
      <c r="D68" s="97"/>
      <c r="E68" s="234">
        <f t="shared" si="3"/>
        <v>0</v>
      </c>
      <c r="F68" s="235"/>
      <c r="G68" s="99"/>
      <c r="H68" s="97"/>
      <c r="I68" s="100">
        <f t="shared" si="4"/>
        <v>0</v>
      </c>
      <c r="J68" s="104"/>
      <c r="K68" s="170"/>
      <c r="L68" s="103"/>
      <c r="M68" s="103"/>
      <c r="N68" s="98"/>
      <c r="O68" s="92"/>
      <c r="U68" s="249" t="s">
        <v>361</v>
      </c>
    </row>
    <row r="69" spans="1:21" s="93" customFormat="1" ht="11.25">
      <c r="A69" s="94" t="s">
        <v>373</v>
      </c>
      <c r="B69" s="171" t="s">
        <v>374</v>
      </c>
      <c r="C69" s="233">
        <f>+'Altri profili_2025_'!E69</f>
        <v>0</v>
      </c>
      <c r="D69" s="97"/>
      <c r="E69" s="234">
        <f t="shared" si="3"/>
        <v>0</v>
      </c>
      <c r="F69" s="235"/>
      <c r="G69" s="99"/>
      <c r="H69" s="97"/>
      <c r="I69" s="100">
        <f t="shared" si="4"/>
        <v>0</v>
      </c>
      <c r="J69" s="104"/>
      <c r="K69" s="170"/>
      <c r="L69" s="103"/>
      <c r="M69" s="103"/>
      <c r="N69" s="98"/>
      <c r="O69" s="92"/>
      <c r="U69" s="249" t="s">
        <v>361</v>
      </c>
    </row>
    <row r="70" spans="1:21" s="93" customFormat="1" ht="11.25">
      <c r="A70" s="94" t="s">
        <v>375</v>
      </c>
      <c r="B70" s="171" t="s">
        <v>376</v>
      </c>
      <c r="C70" s="233">
        <f>+'Altri profili_2025_'!E70</f>
        <v>0</v>
      </c>
      <c r="D70" s="97"/>
      <c r="E70" s="234">
        <f t="shared" si="3"/>
        <v>0</v>
      </c>
      <c r="F70" s="235"/>
      <c r="G70" s="99"/>
      <c r="H70" s="97"/>
      <c r="I70" s="100">
        <f t="shared" si="4"/>
        <v>0</v>
      </c>
      <c r="J70" s="104"/>
      <c r="K70" s="170"/>
      <c r="L70" s="103"/>
      <c r="M70" s="103"/>
      <c r="N70" s="98"/>
      <c r="O70" s="92"/>
      <c r="U70" s="249" t="s">
        <v>361</v>
      </c>
    </row>
    <row r="71" spans="1:21" s="93" customFormat="1" ht="11.25">
      <c r="A71" s="94" t="s">
        <v>377</v>
      </c>
      <c r="B71" s="171" t="s">
        <v>378</v>
      </c>
      <c r="C71" s="233">
        <f>+'Altri profili_2025_'!E71</f>
        <v>0</v>
      </c>
      <c r="D71" s="97"/>
      <c r="E71" s="234">
        <f t="shared" ref="E71:E79" si="5">+D71+C71</f>
        <v>0</v>
      </c>
      <c r="F71" s="235"/>
      <c r="G71" s="99"/>
      <c r="H71" s="97"/>
      <c r="I71" s="100">
        <f t="shared" ref="I71:I79" si="6">+G71-H71</f>
        <v>0</v>
      </c>
      <c r="J71" s="104"/>
      <c r="K71" s="170"/>
      <c r="L71" s="103"/>
      <c r="M71" s="103"/>
      <c r="N71" s="98"/>
      <c r="O71" s="92"/>
      <c r="U71" s="249" t="s">
        <v>361</v>
      </c>
    </row>
    <row r="72" spans="1:21" s="93" customFormat="1" ht="11.25">
      <c r="A72" s="94" t="s">
        <v>379</v>
      </c>
      <c r="B72" s="171" t="s">
        <v>380</v>
      </c>
      <c r="C72" s="233">
        <f>+'Altri profili_2025_'!E72</f>
        <v>3</v>
      </c>
      <c r="D72" s="97"/>
      <c r="E72" s="234">
        <f t="shared" si="5"/>
        <v>3</v>
      </c>
      <c r="F72" s="235">
        <f>40*E72</f>
        <v>120</v>
      </c>
      <c r="G72" s="99">
        <v>0</v>
      </c>
      <c r="H72" s="97">
        <v>0</v>
      </c>
      <c r="I72" s="100">
        <f t="shared" si="6"/>
        <v>0</v>
      </c>
      <c r="J72" s="104"/>
      <c r="K72" s="170"/>
      <c r="L72" s="103"/>
      <c r="M72" s="103"/>
      <c r="N72" s="98"/>
      <c r="O72" s="92"/>
      <c r="U72" s="249" t="s">
        <v>361</v>
      </c>
    </row>
    <row r="73" spans="1:21" s="93" customFormat="1" ht="11.25">
      <c r="A73" s="94" t="s">
        <v>381</v>
      </c>
      <c r="B73" s="171" t="s">
        <v>380</v>
      </c>
      <c r="C73" s="233">
        <f>+'Altri profili_2025_'!E73</f>
        <v>0</v>
      </c>
      <c r="D73" s="97"/>
      <c r="E73" s="234">
        <f t="shared" si="5"/>
        <v>0</v>
      </c>
      <c r="F73" s="235"/>
      <c r="G73" s="99"/>
      <c r="H73" s="97"/>
      <c r="I73" s="100">
        <f t="shared" si="6"/>
        <v>0</v>
      </c>
      <c r="J73" s="104"/>
      <c r="K73" s="170"/>
      <c r="L73" s="103"/>
      <c r="M73" s="103"/>
      <c r="N73" s="98"/>
      <c r="O73" s="92"/>
      <c r="U73" s="249" t="s">
        <v>361</v>
      </c>
    </row>
    <row r="74" spans="1:21" s="93" customFormat="1" ht="11.25">
      <c r="A74" s="94" t="s">
        <v>382</v>
      </c>
      <c r="B74" s="171" t="s">
        <v>334</v>
      </c>
      <c r="C74" s="233">
        <f>+'Altri profili_2025_'!E74</f>
        <v>0</v>
      </c>
      <c r="D74" s="97"/>
      <c r="E74" s="234">
        <f t="shared" si="5"/>
        <v>0</v>
      </c>
      <c r="F74" s="235"/>
      <c r="G74" s="99"/>
      <c r="H74" s="97"/>
      <c r="I74" s="100">
        <f t="shared" si="6"/>
        <v>0</v>
      </c>
      <c r="J74" s="104"/>
      <c r="K74" s="170"/>
      <c r="L74" s="103"/>
      <c r="M74" s="103"/>
      <c r="N74" s="98"/>
      <c r="O74" s="92"/>
      <c r="U74" s="249" t="s">
        <v>361</v>
      </c>
    </row>
    <row r="75" spans="1:21" s="93" customFormat="1" ht="11.25">
      <c r="A75" s="94" t="s">
        <v>383</v>
      </c>
      <c r="B75" s="171" t="s">
        <v>384</v>
      </c>
      <c r="C75" s="233">
        <f>+'Altri profili_2025_'!E75</f>
        <v>1</v>
      </c>
      <c r="D75" s="97">
        <v>2</v>
      </c>
      <c r="E75" s="234">
        <f t="shared" si="5"/>
        <v>3</v>
      </c>
      <c r="F75" s="235">
        <f>100*E75</f>
        <v>300</v>
      </c>
      <c r="G75" s="99">
        <v>0</v>
      </c>
      <c r="H75" s="97">
        <v>0</v>
      </c>
      <c r="I75" s="100">
        <f t="shared" si="6"/>
        <v>0</v>
      </c>
      <c r="J75" s="104"/>
      <c r="K75" s="170"/>
      <c r="L75" s="103"/>
      <c r="M75" s="103"/>
      <c r="N75" s="98"/>
      <c r="O75" s="92"/>
      <c r="U75" s="249" t="s">
        <v>316</v>
      </c>
    </row>
    <row r="76" spans="1:21" s="93" customFormat="1" ht="11.25">
      <c r="A76" s="94" t="s">
        <v>385</v>
      </c>
      <c r="B76" s="171" t="s">
        <v>386</v>
      </c>
      <c r="C76" s="233">
        <f>+'Altri profili_2025_'!E76</f>
        <v>5</v>
      </c>
      <c r="D76" s="97"/>
      <c r="E76" s="234">
        <f t="shared" si="5"/>
        <v>5</v>
      </c>
      <c r="F76" s="235">
        <f>100*E76</f>
        <v>500</v>
      </c>
      <c r="G76" s="99">
        <v>0</v>
      </c>
      <c r="H76" s="97">
        <v>0</v>
      </c>
      <c r="I76" s="100">
        <f t="shared" si="6"/>
        <v>0</v>
      </c>
      <c r="J76" s="104"/>
      <c r="K76" s="170"/>
      <c r="L76" s="103"/>
      <c r="M76" s="103"/>
      <c r="N76" s="98"/>
      <c r="O76" s="92"/>
      <c r="U76" s="249" t="s">
        <v>316</v>
      </c>
    </row>
    <row r="77" spans="1:21" s="93" customFormat="1" ht="11.25">
      <c r="A77" s="94" t="s">
        <v>387</v>
      </c>
      <c r="B77" s="171" t="s">
        <v>388</v>
      </c>
      <c r="C77" s="233">
        <f>+'Altri profili_2025_'!E77</f>
        <v>2</v>
      </c>
      <c r="D77" s="97"/>
      <c r="E77" s="234">
        <f t="shared" si="5"/>
        <v>2</v>
      </c>
      <c r="F77" s="235">
        <f>100*2</f>
        <v>200</v>
      </c>
      <c r="G77" s="99">
        <v>0</v>
      </c>
      <c r="H77" s="97">
        <v>0</v>
      </c>
      <c r="I77" s="100">
        <f t="shared" si="6"/>
        <v>0</v>
      </c>
      <c r="J77" s="104"/>
      <c r="K77" s="170"/>
      <c r="L77" s="103"/>
      <c r="M77" s="103"/>
      <c r="N77" s="98"/>
      <c r="O77" s="92"/>
      <c r="U77" s="249" t="s">
        <v>316</v>
      </c>
    </row>
    <row r="78" spans="1:21" s="93" customFormat="1" ht="11.25">
      <c r="A78" s="94" t="s">
        <v>389</v>
      </c>
      <c r="B78" s="171" t="s">
        <v>390</v>
      </c>
      <c r="C78" s="233">
        <f>+'Altri profili_2025_'!E78</f>
        <v>0</v>
      </c>
      <c r="D78" s="97"/>
      <c r="E78" s="234">
        <f t="shared" si="5"/>
        <v>0</v>
      </c>
      <c r="F78" s="235"/>
      <c r="G78" s="99"/>
      <c r="H78" s="97"/>
      <c r="I78" s="100">
        <f t="shared" si="6"/>
        <v>0</v>
      </c>
      <c r="J78" s="104"/>
      <c r="K78" s="170"/>
      <c r="L78" s="103"/>
      <c r="M78" s="103"/>
      <c r="N78" s="98"/>
      <c r="O78" s="92"/>
      <c r="U78" s="249" t="s">
        <v>316</v>
      </c>
    </row>
    <row r="79" spans="1:21" s="93" customFormat="1" ht="11.25">
      <c r="A79" s="105" t="s">
        <v>391</v>
      </c>
      <c r="B79" s="172" t="s">
        <v>392</v>
      </c>
      <c r="C79" s="236">
        <f>+'Altri profili_2025_'!E79</f>
        <v>0</v>
      </c>
      <c r="D79" s="108"/>
      <c r="E79" s="237">
        <f t="shared" si="5"/>
        <v>0</v>
      </c>
      <c r="F79" s="238"/>
      <c r="G79" s="111"/>
      <c r="H79" s="108"/>
      <c r="I79" s="112">
        <f t="shared" si="6"/>
        <v>0</v>
      </c>
      <c r="J79" s="250"/>
      <c r="K79" s="177"/>
      <c r="L79" s="116"/>
      <c r="M79" s="116"/>
      <c r="N79" s="110"/>
      <c r="O79" s="92"/>
      <c r="U79" s="249" t="s">
        <v>316</v>
      </c>
    </row>
    <row r="80" spans="1:21">
      <c r="C80" s="117"/>
      <c r="D80" s="117"/>
      <c r="E80" s="117"/>
      <c r="F80" s="117"/>
      <c r="G80" s="118"/>
      <c r="H80" s="117"/>
      <c r="K80" s="178"/>
      <c r="L80" s="178"/>
      <c r="M80" s="178"/>
    </row>
  </sheetData>
  <mergeCells count="3">
    <mergeCell ref="A4:B4"/>
    <mergeCell ref="A5:B5"/>
    <mergeCell ref="A6:B6"/>
  </mergeCells>
  <conditionalFormatting sqref="G6:I79">
    <cfRule type="cellIs" dxfId="13" priority="2" operator="lessThan">
      <formula>0</formula>
    </cfRule>
  </conditionalFormatting>
  <conditionalFormatting sqref="H6:I79">
    <cfRule type="cellIs" dxfId="12" priority="3" operator="greaterThan">
      <formula>$G$6</formula>
    </cfRule>
  </conditionalFormatting>
  <conditionalFormatting sqref="K7:K79">
    <cfRule type="cellIs" dxfId="11" priority="4" operator="lessThan">
      <formula>0</formula>
    </cfRule>
  </conditionalFormatting>
  <conditionalFormatting sqref="K7:K79">
    <cfRule type="cellIs" dxfId="10" priority="5" operator="greaterThan">
      <formula>"$M$7"</formula>
    </cfRule>
  </conditionalFormatting>
  <conditionalFormatting sqref="M10">
    <cfRule type="cellIs" dxfId="9" priority="6" operator="lessThan">
      <formula>0</formula>
    </cfRule>
  </conditionalFormatting>
  <conditionalFormatting sqref="M10">
    <cfRule type="cellIs" dxfId="8" priority="7" operator="greaterThan">
      <formula>"$M$7"</formula>
    </cfRule>
  </conditionalFormatting>
  <conditionalFormatting sqref="M9">
    <cfRule type="cellIs" dxfId="7" priority="8" operator="lessThan">
      <formula>0</formula>
    </cfRule>
  </conditionalFormatting>
  <conditionalFormatting sqref="M9">
    <cfRule type="cellIs" dxfId="6" priority="9" operator="greaterThan">
      <formula>"$M$7"</formula>
    </cfRule>
  </conditionalFormatting>
  <conditionalFormatting sqref="M8">
    <cfRule type="cellIs" dxfId="5" priority="10" operator="lessThan">
      <formula>0</formula>
    </cfRule>
  </conditionalFormatting>
  <conditionalFormatting sqref="M8">
    <cfRule type="cellIs" dxfId="4" priority="11" operator="greaterThan">
      <formula>"$M$7"</formula>
    </cfRule>
  </conditionalFormatting>
  <conditionalFormatting sqref="L7:L79">
    <cfRule type="cellIs" dxfId="3" priority="12" operator="lessThan">
      <formula>0</formula>
    </cfRule>
  </conditionalFormatting>
  <conditionalFormatting sqref="L7:L79">
    <cfRule type="cellIs" dxfId="2" priority="13" operator="greaterThan">
      <formula>"$M$7"</formula>
    </cfRule>
  </conditionalFormatting>
  <conditionalFormatting sqref="M11:M79 M7">
    <cfRule type="cellIs" dxfId="1" priority="14" operator="lessThan">
      <formula>0</formula>
    </cfRule>
  </conditionalFormatting>
  <conditionalFormatting sqref="M11:M79 M7">
    <cfRule type="cellIs" dxfId="0" priority="15" operator="greaterThan">
      <formula>"$M$7"</formula>
    </cfRule>
  </conditionalFormatting>
  <pageMargins left="0.23611111111111099" right="0.23611111111111099" top="0.74791666666666701" bottom="0.74791666666666701" header="0.51180555555555496" footer="0.31527777777777799"/>
  <pageSetup paperSize="8" scale="78" firstPageNumber="0" orientation="landscape" r:id="rId1"/>
  <headerFooter>
    <oddFooter>&amp;R&amp;"Arial,Normale"&amp;10&amp;A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MJ23"/>
  <sheetViews>
    <sheetView showGridLines="0" zoomScale="110" zoomScaleNormal="110" workbookViewId="0">
      <selection activeCell="C4" sqref="C4"/>
    </sheetView>
  </sheetViews>
  <sheetFormatPr defaultColWidth="8.85546875" defaultRowHeight="15"/>
  <cols>
    <col min="1" max="1" width="8.85546875" style="25"/>
    <col min="2" max="2" width="11.5703125" style="25" hidden="1" customWidth="1"/>
    <col min="3" max="3" width="34.7109375" style="25" customWidth="1"/>
    <col min="4" max="6" width="13.7109375" style="25" customWidth="1"/>
    <col min="7" max="21" width="11.7109375" style="25" customWidth="1"/>
    <col min="22" max="1024" width="8.85546875" style="25"/>
  </cols>
  <sheetData>
    <row r="3" spans="1:6">
      <c r="C3" s="16" t="s">
        <v>449</v>
      </c>
    </row>
    <row r="4" spans="1:6">
      <c r="C4" s="16"/>
    </row>
    <row r="5" spans="1:6" s="93" customFormat="1" ht="15" customHeight="1">
      <c r="D5" s="373" t="s">
        <v>393</v>
      </c>
      <c r="E5" s="373"/>
      <c r="F5" s="373"/>
    </row>
    <row r="6" spans="1:6" ht="33" customHeight="1">
      <c r="C6" s="374" t="s">
        <v>394</v>
      </c>
      <c r="D6" s="375" t="s">
        <v>395</v>
      </c>
      <c r="E6" s="375"/>
      <c r="F6" s="375"/>
    </row>
    <row r="7" spans="1:6" ht="40.9" customHeight="1">
      <c r="A7" s="180"/>
      <c r="C7" s="374"/>
      <c r="D7" s="181" t="s">
        <v>446</v>
      </c>
      <c r="E7" s="182" t="s">
        <v>447</v>
      </c>
      <c r="F7" s="183" t="s">
        <v>396</v>
      </c>
    </row>
    <row r="8" spans="1:6" ht="13.9" customHeight="1">
      <c r="C8" s="184" t="s">
        <v>397</v>
      </c>
      <c r="D8" s="185"/>
      <c r="E8" s="185"/>
      <c r="F8" s="186"/>
    </row>
    <row r="9" spans="1:6" ht="13.9" customHeight="1">
      <c r="C9" s="187" t="s">
        <v>398</v>
      </c>
      <c r="D9" s="188">
        <f>+Medici_2026!G9</f>
        <v>0</v>
      </c>
      <c r="E9" s="189">
        <f>+Medici_2026!E9</f>
        <v>769</v>
      </c>
      <c r="F9" s="190">
        <f>+Medici_2026!F9</f>
        <v>77669</v>
      </c>
    </row>
    <row r="10" spans="1:6" ht="13.9" customHeight="1">
      <c r="B10" s="191"/>
      <c r="C10" s="197" t="s">
        <v>399</v>
      </c>
      <c r="D10" s="193">
        <f>+'Altri profili_2026'!G51</f>
        <v>0</v>
      </c>
      <c r="E10" s="194">
        <f>+'Altri profili_2026'!E51</f>
        <v>0</v>
      </c>
      <c r="F10" s="195">
        <f>+'Altri profili_2026'!F51</f>
        <v>0</v>
      </c>
    </row>
    <row r="11" spans="1:6" ht="13.9" customHeight="1">
      <c r="B11" s="196" t="s">
        <v>340</v>
      </c>
      <c r="C11" s="197" t="s">
        <v>400</v>
      </c>
      <c r="D11" s="193">
        <f>+SUMIF('Altri profili_2026'!$U$7:$U$79,$B11,'Altri profili_2026'!$G$7:$G$79)</f>
        <v>0</v>
      </c>
      <c r="E11" s="194">
        <f>+SUMIF('Altri profili_2026'!$U$7:$U$79,$B11,'Altri profili_2026'!$E$7:$E$79)</f>
        <v>63</v>
      </c>
      <c r="F11" s="195">
        <f>+SUMIF('Altri profili_2026'!$U$7:$U$79,$B11,'Altri profili_2026'!$F$7:$F$79)</f>
        <v>5681</v>
      </c>
    </row>
    <row r="12" spans="1:6" ht="13.9" customHeight="1">
      <c r="B12" s="196" t="s">
        <v>316</v>
      </c>
      <c r="C12" s="198" t="s">
        <v>401</v>
      </c>
      <c r="D12" s="199">
        <f>+SUMIF('Altri profili_2026'!$U$7:$U$79,$B12,'Altri profili_2026'!$G$7:$G$79)</f>
        <v>0</v>
      </c>
      <c r="E12" s="200">
        <f>+SUMIF('Altri profili_2026'!$U$7:$U$79,$B12,'Altri profili_2026'!$E$7:$E$79)</f>
        <v>27</v>
      </c>
      <c r="F12" s="201">
        <f>+SUMIF('Altri profili_2026'!$U$7:$U$79,$B12,'Altri profili_2026'!$F$7:$F$79)</f>
        <v>2700</v>
      </c>
    </row>
    <row r="13" spans="1:6" ht="13.9" customHeight="1">
      <c r="B13" s="196"/>
      <c r="C13" s="202" t="s">
        <v>402</v>
      </c>
      <c r="D13" s="203">
        <f>+SUM(D9:D12)</f>
        <v>0</v>
      </c>
      <c r="E13" s="256">
        <f>+SUM(E9:E12)</f>
        <v>859</v>
      </c>
      <c r="F13" s="205">
        <f>+SUM(F9:F12)</f>
        <v>86050</v>
      </c>
    </row>
    <row r="14" spans="1:6" ht="13.9" customHeight="1">
      <c r="B14" s="196"/>
      <c r="C14" s="206" t="s">
        <v>403</v>
      </c>
      <c r="D14" s="207"/>
      <c r="E14" s="257"/>
      <c r="F14" s="209"/>
    </row>
    <row r="15" spans="1:6" ht="13.9" customHeight="1">
      <c r="B15" s="196" t="s">
        <v>243</v>
      </c>
      <c r="C15" s="187" t="s">
        <v>404</v>
      </c>
      <c r="D15" s="188">
        <f>+SUMIF('Altri profili_2026'!$U$7:$U$79,$B15,'Altri profili_2026'!$G$7:$G$79)</f>
        <v>0</v>
      </c>
      <c r="E15" s="189">
        <f>+SUMIF('Altri profili_2026'!$U$7:$U$79,$B15,'Altri profili_2026'!$E$7:$E$79)</f>
        <v>1345</v>
      </c>
      <c r="F15" s="190">
        <f>+SUMIF('Altri profili_2026'!$U$7:$U$79,$B15,'Altri profili_2026'!$F$7:$F$79)</f>
        <v>60525</v>
      </c>
    </row>
    <row r="16" spans="1:6" ht="13.9" customHeight="1">
      <c r="B16" s="196" t="s">
        <v>259</v>
      </c>
      <c r="C16" s="197" t="s">
        <v>405</v>
      </c>
      <c r="D16" s="193">
        <f>+SUMIF('Altri profili_2026'!$U$7:$U$79,$B16,'Altri profili_2026'!$G$7:$G$79)</f>
        <v>0</v>
      </c>
      <c r="E16" s="194">
        <f>+SUMIF('Altri profili_2026'!$U$7:$U$79,$B16,'Altri profili_2026'!$E$7:$E$79)</f>
        <v>231</v>
      </c>
      <c r="F16" s="195">
        <f>+SUMIF('Altri profili_2026'!$U$7:$U$79,$B16,'Altri profili_2026'!$F$7:$F$79)</f>
        <v>9723</v>
      </c>
    </row>
    <row r="17" spans="2:6" ht="13.9" customHeight="1">
      <c r="B17" s="196" t="s">
        <v>252</v>
      </c>
      <c r="C17" s="197" t="s">
        <v>406</v>
      </c>
      <c r="D17" s="193">
        <f>+SUMIF('Altri profili_2026'!$U$7:$U$79,$B17,'Altri profili_2026'!$G$7:$G$79)</f>
        <v>0</v>
      </c>
      <c r="E17" s="194">
        <f>+SUMIF('Altri profili_2026'!$U$7:$U$79,$B17,'Altri profili_2026'!$E$7:$E$79)</f>
        <v>285</v>
      </c>
      <c r="F17" s="195">
        <f>+SUMIF('Altri profili_2026'!$U$7:$U$79,$B17,'Altri profili_2026'!$F$7:$F$79)</f>
        <v>10200</v>
      </c>
    </row>
    <row r="18" spans="2:6" ht="13.9" customHeight="1">
      <c r="B18" s="196" t="s">
        <v>262</v>
      </c>
      <c r="C18" s="197" t="s">
        <v>407</v>
      </c>
      <c r="D18" s="193">
        <f>+SUMIF('Altri profili_2026'!$U$7:$U$79,$B18,'Altri profili_2026'!$G$7:$G$79)</f>
        <v>0</v>
      </c>
      <c r="E18" s="194">
        <f>+SUMIF('Altri profili_2026'!$U$7:$U$79,$B18,'Altri profili_2026'!$E$7:$E$79)</f>
        <v>37</v>
      </c>
      <c r="F18" s="195">
        <f>+SUMIF('Altri profili_2026'!$U$7:$U$79,$B18,'Altri profili_2026'!$F$7:$F$79)</f>
        <v>1581</v>
      </c>
    </row>
    <row r="19" spans="2:6" ht="13.9" customHeight="1">
      <c r="B19" s="196" t="s">
        <v>361</v>
      </c>
      <c r="C19" s="197" t="s">
        <v>408</v>
      </c>
      <c r="D19" s="193">
        <f>+SUMIF('Altri profili_2026'!$U$7:$U$79,$B19,'Altri profili_2026'!$G$7:$G$79)</f>
        <v>0</v>
      </c>
      <c r="E19" s="194">
        <f>+SUMIF('Altri profili_2026'!$U$7:$U$79,$B19,'Altri profili_2026'!$E$7:$E$79)</f>
        <v>191</v>
      </c>
      <c r="F19" s="195">
        <f>+SUMIF('Altri profili_2026'!$U$7:$U$79,$B19,'Altri profili_2026'!$F$7:$F$79)</f>
        <v>6751</v>
      </c>
    </row>
    <row r="20" spans="2:6" ht="13.9" customHeight="1">
      <c r="B20" s="196" t="s">
        <v>313</v>
      </c>
      <c r="C20" s="210" t="s">
        <v>409</v>
      </c>
      <c r="D20" s="211">
        <f>+SUMIF('Altri profili_2026'!$U$7:$U$79,$B20,'Altri profili_2026'!$G$7:$G$79)</f>
        <v>0</v>
      </c>
      <c r="E20" s="212">
        <f>+SUMIF('Altri profili_2026'!$U$7:$U$79,$B20,'Altri profili_2026'!$E$7:$E$79)</f>
        <v>118</v>
      </c>
      <c r="F20" s="213">
        <f>+SUMIF('Altri profili_2026'!$U$7:$U$79,$B20,'Altri profili_2026'!$F$7:$F$79)</f>
        <v>4232</v>
      </c>
    </row>
    <row r="21" spans="2:6" ht="13.9" customHeight="1">
      <c r="C21" s="214" t="s">
        <v>410</v>
      </c>
      <c r="D21" s="215">
        <f>+SUM(D15:D20)</f>
        <v>0</v>
      </c>
      <c r="E21" s="216">
        <f>+SUM(E15:E20)</f>
        <v>2207</v>
      </c>
      <c r="F21" s="217">
        <f>+SUM(F15:F20)</f>
        <v>93012</v>
      </c>
    </row>
    <row r="22" spans="2:6" ht="13.9" customHeight="1">
      <c r="C22" s="258" t="s">
        <v>416</v>
      </c>
      <c r="D22" s="259">
        <f>+SUM(D21+D13)</f>
        <v>0</v>
      </c>
      <c r="E22" s="260">
        <f>+SUM(E21+E13)</f>
        <v>3066</v>
      </c>
      <c r="F22" s="221">
        <f>+SUM(F21+F13)</f>
        <v>179062</v>
      </c>
    </row>
    <row r="23" spans="2:6">
      <c r="C23" s="137"/>
      <c r="D23" s="93"/>
      <c r="E23" s="93"/>
      <c r="F23" s="93"/>
    </row>
  </sheetData>
  <mergeCells count="3">
    <mergeCell ref="D5:F5"/>
    <mergeCell ref="C6:C7"/>
    <mergeCell ref="D6:F6"/>
  </mergeCells>
  <pageMargins left="0.7" right="0.7" top="0.75" bottom="0.75" header="0.51180555555555496" footer="0.51180555555555496"/>
  <pageSetup paperSize="9" scale="47" firstPageNumber="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09"/>
  <sheetViews>
    <sheetView showGridLines="0" zoomScale="110" zoomScaleNormal="110" zoomScalePageLayoutView="70" workbookViewId="0">
      <pane xSplit="2" ySplit="9" topLeftCell="C10" activePane="bottomRight" state="frozen"/>
      <selection pane="topRight" activeCell="C1" sqref="C1"/>
      <selection pane="bottomLeft" activeCell="A77" sqref="A77"/>
      <selection pane="bottomRight" activeCell="A3" sqref="A3"/>
    </sheetView>
  </sheetViews>
  <sheetFormatPr defaultColWidth="9.140625" defaultRowHeight="15"/>
  <cols>
    <col min="1" max="1" width="10.28515625" style="25" customWidth="1"/>
    <col min="2" max="2" width="49.5703125" style="25" customWidth="1"/>
    <col min="3" max="8" width="12.42578125" style="25" customWidth="1"/>
    <col min="9" max="9" width="18" style="25" customWidth="1"/>
    <col min="10" max="10" width="13.7109375" style="26" customWidth="1"/>
    <col min="11" max="12" width="18" style="25" customWidth="1"/>
    <col min="13" max="13" width="0.7109375" style="25" customWidth="1"/>
    <col min="14" max="14" width="37.7109375" style="25" customWidth="1"/>
    <col min="15" max="15" width="1.85546875" style="27" customWidth="1"/>
    <col min="16" max="1024" width="9.140625" style="25"/>
  </cols>
  <sheetData>
    <row r="1" spans="1:19">
      <c r="A1" s="28" t="s">
        <v>50</v>
      </c>
      <c r="B1" s="29" t="str">
        <f>+Copertina!F20</f>
        <v xml:space="preserve">AO Civico </v>
      </c>
      <c r="C1" s="26"/>
      <c r="D1" s="26"/>
      <c r="E1" s="26"/>
      <c r="F1" s="26"/>
      <c r="G1" s="26"/>
      <c r="H1" s="26"/>
      <c r="J1" s="30"/>
    </row>
    <row r="2" spans="1:19" ht="15" customHeight="1">
      <c r="A2" s="31" t="str">
        <f>"Piano del Fabbisogno triennale 2024-2026 "&amp;B1</f>
        <v xml:space="preserve">Piano del Fabbisogno triennale 2024-2026 AO Civico </v>
      </c>
      <c r="B2" s="32"/>
      <c r="C2" s="33"/>
      <c r="D2" s="33"/>
      <c r="E2" s="33"/>
      <c r="F2" s="33"/>
      <c r="G2" s="33"/>
      <c r="H2" s="33"/>
      <c r="I2" s="33"/>
      <c r="J2" s="33"/>
      <c r="K2" s="32"/>
      <c r="L2" s="32"/>
      <c r="M2" s="33"/>
      <c r="N2" s="34"/>
      <c r="O2" s="35"/>
    </row>
    <row r="3" spans="1:19" ht="28.15" customHeight="1">
      <c r="A3" s="261" t="s">
        <v>51</v>
      </c>
      <c r="B3" s="262"/>
      <c r="C3" s="263"/>
      <c r="D3" s="263"/>
      <c r="E3" s="263"/>
      <c r="F3" s="263"/>
      <c r="G3" s="263"/>
      <c r="H3" s="263"/>
      <c r="I3" s="262"/>
      <c r="J3" s="262"/>
      <c r="K3" s="262"/>
      <c r="L3" s="262"/>
      <c r="M3" s="263"/>
      <c r="N3" s="264"/>
      <c r="O3" s="39"/>
    </row>
    <row r="4" spans="1:19" ht="87.75" customHeight="1">
      <c r="A4" s="388" t="s">
        <v>52</v>
      </c>
      <c r="B4" s="388"/>
      <c r="C4" s="265" t="s">
        <v>432</v>
      </c>
      <c r="D4" s="266" t="s">
        <v>433</v>
      </c>
      <c r="E4" s="267" t="s">
        <v>436</v>
      </c>
      <c r="F4" s="266" t="s">
        <v>437</v>
      </c>
      <c r="G4" s="267" t="s">
        <v>444</v>
      </c>
      <c r="H4" s="268" t="s">
        <v>445</v>
      </c>
      <c r="I4" s="269" t="s">
        <v>417</v>
      </c>
      <c r="J4" s="270" t="s">
        <v>418</v>
      </c>
      <c r="K4" s="271" t="s">
        <v>56</v>
      </c>
      <c r="L4" s="272" t="s">
        <v>57</v>
      </c>
      <c r="M4" s="72"/>
      <c r="N4" s="273" t="s">
        <v>61</v>
      </c>
      <c r="O4" s="49"/>
    </row>
    <row r="5" spans="1:19" ht="22.5" customHeight="1">
      <c r="A5" s="388"/>
      <c r="B5" s="388"/>
      <c r="C5" s="274" t="s">
        <v>62</v>
      </c>
      <c r="D5" s="275" t="s">
        <v>419</v>
      </c>
      <c r="E5" s="275" t="s">
        <v>420</v>
      </c>
      <c r="F5" s="275" t="s">
        <v>421</v>
      </c>
      <c r="G5" s="275" t="s">
        <v>422</v>
      </c>
      <c r="H5" s="276" t="s">
        <v>423</v>
      </c>
      <c r="I5" s="273" t="s">
        <v>68</v>
      </c>
      <c r="J5" s="277" t="s">
        <v>424</v>
      </c>
      <c r="K5" s="278" t="s">
        <v>70</v>
      </c>
      <c r="L5" s="279" t="s">
        <v>425</v>
      </c>
      <c r="M5" s="280"/>
      <c r="N5" s="281"/>
    </row>
    <row r="6" spans="1:19" s="61" customFormat="1" ht="3" customHeight="1">
      <c r="A6" s="282"/>
      <c r="B6" s="56"/>
      <c r="C6" s="283"/>
      <c r="D6" s="49"/>
      <c r="E6" s="58"/>
      <c r="F6" s="58"/>
      <c r="G6" s="58"/>
      <c r="H6" s="58"/>
      <c r="I6" s="284"/>
      <c r="J6" s="49"/>
      <c r="K6" s="58"/>
      <c r="L6" s="285"/>
      <c r="M6" s="58"/>
      <c r="N6" s="281"/>
      <c r="O6" s="27"/>
    </row>
    <row r="7" spans="1:19" ht="15" customHeight="1">
      <c r="A7" s="389" t="s">
        <v>73</v>
      </c>
      <c r="B7" s="389"/>
      <c r="C7" s="286">
        <f>+C9+'Sintesi_Altri profili_2024-2026'!C6</f>
        <v>2680</v>
      </c>
      <c r="D7" s="286">
        <f>+D9+'Sintesi_Altri profili_2024-2026'!D6</f>
        <v>155505</v>
      </c>
      <c r="E7" s="286">
        <f>+E9+'Sintesi_Altri profili_2024-2026'!E6</f>
        <v>2895</v>
      </c>
      <c r="F7" s="286">
        <f>+F9+'Sintesi_Altri profili_2024-2026'!F6</f>
        <v>166956</v>
      </c>
      <c r="G7" s="286">
        <f>+G9+'Sintesi_Altri profili_2024-2026'!G6</f>
        <v>3066</v>
      </c>
      <c r="H7" s="287">
        <f>+H9+'Sintesi_Altri profili_2024-2026'!H6</f>
        <v>179062</v>
      </c>
      <c r="I7" s="288">
        <f>+I9+'Sintesi_Altri profili_2024-2026'!I6</f>
        <v>0</v>
      </c>
      <c r="J7" s="289">
        <f>+J9+'Sintesi_Altri profili_2024-2026'!J6</f>
        <v>565</v>
      </c>
      <c r="K7" s="286">
        <f>+K9+'Sintesi_Altri profili_2024-2026'!K6</f>
        <v>197</v>
      </c>
      <c r="L7" s="290">
        <f>+L9+'Sintesi_Altri profili_2024-2026'!L6</f>
        <v>368</v>
      </c>
      <c r="M7" s="49"/>
      <c r="N7" s="291"/>
    </row>
    <row r="8" spans="1:19" s="61" customFormat="1" ht="3" customHeight="1">
      <c r="A8" s="282"/>
      <c r="B8" s="56"/>
      <c r="C8" s="283"/>
      <c r="D8" s="49"/>
      <c r="E8" s="49"/>
      <c r="F8" s="49"/>
      <c r="G8" s="49"/>
      <c r="H8" s="49"/>
      <c r="I8" s="69"/>
      <c r="J8" s="69"/>
      <c r="K8" s="49"/>
      <c r="L8" s="49"/>
      <c r="M8" s="49"/>
      <c r="N8" s="292"/>
      <c r="O8" s="27"/>
    </row>
    <row r="9" spans="1:19" ht="15" customHeight="1">
      <c r="A9" s="370" t="s">
        <v>74</v>
      </c>
      <c r="B9" s="370"/>
      <c r="C9" s="293">
        <f t="shared" ref="C9:L9" si="0">+SUM(C10:C79)</f>
        <v>670</v>
      </c>
      <c r="D9" s="287">
        <f t="shared" si="0"/>
        <v>67670</v>
      </c>
      <c r="E9" s="286">
        <f t="shared" si="0"/>
        <v>699</v>
      </c>
      <c r="F9" s="286">
        <f t="shared" si="0"/>
        <v>70397</v>
      </c>
      <c r="G9" s="286">
        <f t="shared" si="0"/>
        <v>769</v>
      </c>
      <c r="H9" s="287">
        <f t="shared" si="0"/>
        <v>77669</v>
      </c>
      <c r="I9" s="288">
        <f t="shared" si="0"/>
        <v>0</v>
      </c>
      <c r="J9" s="289">
        <f t="shared" si="0"/>
        <v>177</v>
      </c>
      <c r="K9" s="286">
        <f t="shared" si="0"/>
        <v>1</v>
      </c>
      <c r="L9" s="290">
        <f t="shared" si="0"/>
        <v>176</v>
      </c>
      <c r="M9" s="49"/>
      <c r="N9" s="291"/>
      <c r="O9" s="79"/>
      <c r="Q9" s="294"/>
      <c r="R9" s="294"/>
      <c r="S9" s="294"/>
    </row>
    <row r="10" spans="1:19" s="93" customFormat="1" ht="11.25">
      <c r="A10" s="80" t="s">
        <v>75</v>
      </c>
      <c r="B10" s="81" t="s">
        <v>76</v>
      </c>
      <c r="C10" s="230">
        <f>+Medici_2024!E10</f>
        <v>2</v>
      </c>
      <c r="D10" s="231">
        <f>+Medici_2024!F10</f>
        <v>202</v>
      </c>
      <c r="E10" s="231">
        <f>+Medici_2025!E10</f>
        <v>2</v>
      </c>
      <c r="F10" s="231">
        <f>+Medici_2025!F10</f>
        <v>0</v>
      </c>
      <c r="G10" s="231">
        <f>+Medici_2026!E10</f>
        <v>3</v>
      </c>
      <c r="H10" s="87">
        <f>+Medici_2026!F10</f>
        <v>303</v>
      </c>
      <c r="I10" s="295">
        <f>+Medici_2024!G10</f>
        <v>0</v>
      </c>
      <c r="J10" s="296">
        <f>+Medici_2024!H10+Medici_2025!G10+Medici_2026!G10</f>
        <v>2</v>
      </c>
      <c r="K10" s="297">
        <f>+Medici_2024!I10+Medici_2025!H10+Medici_2026!H10</f>
        <v>0</v>
      </c>
      <c r="L10" s="298">
        <f>+Medici_2024!J10+Medici_2025!I10+Medici_2026!I10</f>
        <v>2</v>
      </c>
      <c r="M10" s="88"/>
      <c r="N10" s="85"/>
      <c r="O10" s="92"/>
    </row>
    <row r="11" spans="1:19" s="93" customFormat="1" ht="11.25">
      <c r="A11" s="94" t="s">
        <v>77</v>
      </c>
      <c r="B11" s="95" t="s">
        <v>78</v>
      </c>
      <c r="C11" s="233">
        <f>+Medici_2024!E11</f>
        <v>0</v>
      </c>
      <c r="D11" s="234">
        <f>+Medici_2024!F11</f>
        <v>0</v>
      </c>
      <c r="E11" s="234">
        <f>+Medici_2025!E11</f>
        <v>0</v>
      </c>
      <c r="F11" s="234">
        <f>+Medici_2025!F11</f>
        <v>0</v>
      </c>
      <c r="G11" s="234">
        <f>+Medici_2026!E11</f>
        <v>0</v>
      </c>
      <c r="H11" s="100">
        <f>+Medici_2026!F11</f>
        <v>0</v>
      </c>
      <c r="I11" s="299">
        <f>+Medici_2024!G11</f>
        <v>0</v>
      </c>
      <c r="J11" s="300">
        <f>+Medici_2024!H11+Medici_2025!G11+Medici_2026!G11</f>
        <v>0</v>
      </c>
      <c r="K11" s="301">
        <f>+Medici_2024!I11+Medici_2025!H11+Medici_2026!H11</f>
        <v>0</v>
      </c>
      <c r="L11" s="84">
        <f>+Medici_2024!J11+Medici_2025!I11+Medici_2026!I11</f>
        <v>0</v>
      </c>
      <c r="M11" s="88"/>
      <c r="N11" s="98"/>
      <c r="O11" s="92"/>
    </row>
    <row r="12" spans="1:19" s="93" customFormat="1" ht="11.25">
      <c r="A12" s="94" t="s">
        <v>79</v>
      </c>
      <c r="B12" s="95" t="s">
        <v>80</v>
      </c>
      <c r="C12" s="233">
        <f>+Medici_2024!E12</f>
        <v>38</v>
      </c>
      <c r="D12" s="234">
        <f>+Medici_2024!F12</f>
        <v>3838</v>
      </c>
      <c r="E12" s="234">
        <f>+Medici_2025!E12</f>
        <v>43</v>
      </c>
      <c r="F12" s="234">
        <f>+Medici_2025!F12</f>
        <v>4343</v>
      </c>
      <c r="G12" s="234">
        <f>+Medici_2026!E12</f>
        <v>43</v>
      </c>
      <c r="H12" s="100">
        <f>+Medici_2026!F12</f>
        <v>4343</v>
      </c>
      <c r="I12" s="299">
        <f>+Medici_2024!G12</f>
        <v>0</v>
      </c>
      <c r="J12" s="300">
        <f>+Medici_2024!H12+Medici_2025!G12+Medici_2026!G12</f>
        <v>5</v>
      </c>
      <c r="K12" s="301">
        <f>+Medici_2024!I12+Medici_2025!H12+Medici_2026!H12</f>
        <v>0</v>
      </c>
      <c r="L12" s="84">
        <f>+Medici_2024!J12+Medici_2025!I12+Medici_2026!I12</f>
        <v>5</v>
      </c>
      <c r="M12" s="88"/>
      <c r="N12" s="98"/>
      <c r="O12" s="92"/>
    </row>
    <row r="13" spans="1:19" s="93" customFormat="1" ht="11.25">
      <c r="A13" s="94" t="s">
        <v>81</v>
      </c>
      <c r="B13" s="95" t="s">
        <v>82</v>
      </c>
      <c r="C13" s="233">
        <f>+Medici_2024!E13</f>
        <v>2</v>
      </c>
      <c r="D13" s="234">
        <f>+Medici_2024!F13</f>
        <v>202</v>
      </c>
      <c r="E13" s="234">
        <f>+Medici_2025!E13</f>
        <v>2</v>
      </c>
      <c r="F13" s="234">
        <f>+Medici_2025!F13</f>
        <v>202</v>
      </c>
      <c r="G13" s="234">
        <f>+Medici_2026!E13</f>
        <v>3</v>
      </c>
      <c r="H13" s="100">
        <f>+Medici_2026!F13</f>
        <v>303</v>
      </c>
      <c r="I13" s="299">
        <f>+Medici_2024!G13</f>
        <v>0</v>
      </c>
      <c r="J13" s="300">
        <f>+Medici_2024!H13+Medici_2025!G13+Medici_2026!G13</f>
        <v>2</v>
      </c>
      <c r="K13" s="301">
        <f>+Medici_2024!I13+Medici_2025!H13+Medici_2026!H13</f>
        <v>1</v>
      </c>
      <c r="L13" s="84">
        <f>+Medici_2024!J13+Medici_2025!I13+Medici_2026!I13</f>
        <v>1</v>
      </c>
      <c r="M13" s="104"/>
      <c r="N13" s="98"/>
      <c r="O13" s="92"/>
    </row>
    <row r="14" spans="1:19" s="93" customFormat="1" ht="11.25">
      <c r="A14" s="94" t="s">
        <v>83</v>
      </c>
      <c r="B14" s="95" t="s">
        <v>84</v>
      </c>
      <c r="C14" s="233">
        <f>+Medici_2024!E14</f>
        <v>19</v>
      </c>
      <c r="D14" s="234">
        <f>+Medici_2024!F14</f>
        <v>1919</v>
      </c>
      <c r="E14" s="234">
        <f>+Medici_2025!E14</f>
        <v>19</v>
      </c>
      <c r="F14" s="234">
        <f>+Medici_2025!F14</f>
        <v>1717</v>
      </c>
      <c r="G14" s="234">
        <f>+Medici_2026!E14</f>
        <v>19</v>
      </c>
      <c r="H14" s="100">
        <f>+Medici_2026!F14</f>
        <v>1919</v>
      </c>
      <c r="I14" s="299">
        <f>+Medici_2024!G14</f>
        <v>0</v>
      </c>
      <c r="J14" s="300">
        <f>+Medici_2024!H14+Medici_2025!G14+Medici_2026!G14</f>
        <v>0</v>
      </c>
      <c r="K14" s="301">
        <f>+Medici_2024!I14+Medici_2025!H14+Medici_2026!H14</f>
        <v>0</v>
      </c>
      <c r="L14" s="84">
        <f>+Medici_2024!J14+Medici_2025!I14+Medici_2026!I14</f>
        <v>0</v>
      </c>
      <c r="M14" s="104"/>
      <c r="N14" s="98"/>
      <c r="O14" s="92"/>
    </row>
    <row r="15" spans="1:19" s="93" customFormat="1" ht="11.25">
      <c r="A15" s="94" t="s">
        <v>85</v>
      </c>
      <c r="B15" s="95" t="s">
        <v>86</v>
      </c>
      <c r="C15" s="233">
        <f>+Medici_2024!E15</f>
        <v>0</v>
      </c>
      <c r="D15" s="234">
        <f>+Medici_2024!F15</f>
        <v>0</v>
      </c>
      <c r="E15" s="234">
        <f>+Medici_2025!E15</f>
        <v>0</v>
      </c>
      <c r="F15" s="234">
        <f>+Medici_2025!F15</f>
        <v>0</v>
      </c>
      <c r="G15" s="234">
        <f>+Medici_2026!E15</f>
        <v>0</v>
      </c>
      <c r="H15" s="100">
        <f>+Medici_2026!F15</f>
        <v>0</v>
      </c>
      <c r="I15" s="299">
        <f>+Medici_2024!G15</f>
        <v>0</v>
      </c>
      <c r="J15" s="300">
        <f>+Medici_2024!H15+Medici_2025!G15+Medici_2026!G15</f>
        <v>0</v>
      </c>
      <c r="K15" s="301">
        <f>+Medici_2024!I15+Medici_2025!H15+Medici_2026!H15</f>
        <v>0</v>
      </c>
      <c r="L15" s="84">
        <f>+Medici_2024!J15+Medici_2025!I15+Medici_2026!I15</f>
        <v>0</v>
      </c>
      <c r="M15" s="104"/>
      <c r="N15" s="98"/>
      <c r="O15" s="92"/>
    </row>
    <row r="16" spans="1:19" s="93" customFormat="1" ht="11.25">
      <c r="A16" s="94" t="s">
        <v>87</v>
      </c>
      <c r="B16" s="95" t="s">
        <v>88</v>
      </c>
      <c r="C16" s="233">
        <f>+Medici_2024!E16</f>
        <v>10</v>
      </c>
      <c r="D16" s="234">
        <f>+Medici_2024!F16</f>
        <v>1010</v>
      </c>
      <c r="E16" s="234">
        <f>+Medici_2025!E16</f>
        <v>10</v>
      </c>
      <c r="F16" s="234">
        <f>+Medici_2025!F16</f>
        <v>1010</v>
      </c>
      <c r="G16" s="234">
        <f>+Medici_2026!E16</f>
        <v>10</v>
      </c>
      <c r="H16" s="100">
        <f>+Medici_2026!F16</f>
        <v>1010</v>
      </c>
      <c r="I16" s="299">
        <f>+Medici_2024!G16</f>
        <v>0</v>
      </c>
      <c r="J16" s="300">
        <f>+Medici_2024!H16+Medici_2025!G16+Medici_2026!G16</f>
        <v>0</v>
      </c>
      <c r="K16" s="301">
        <f>+Medici_2024!I16+Medici_2025!H16+Medici_2026!H16</f>
        <v>0</v>
      </c>
      <c r="L16" s="84">
        <f>+Medici_2024!J16+Medici_2025!I16+Medici_2026!I16</f>
        <v>0</v>
      </c>
      <c r="M16" s="104"/>
      <c r="N16" s="98"/>
      <c r="O16" s="92"/>
    </row>
    <row r="17" spans="1:15" s="93" customFormat="1" ht="11.25">
      <c r="A17" s="94" t="s">
        <v>89</v>
      </c>
      <c r="B17" s="95" t="s">
        <v>90</v>
      </c>
      <c r="C17" s="233">
        <f>+Medici_2024!E17</f>
        <v>0</v>
      </c>
      <c r="D17" s="234">
        <f>+Medici_2024!F17</f>
        <v>0</v>
      </c>
      <c r="E17" s="234">
        <f>+Medici_2025!E17</f>
        <v>0</v>
      </c>
      <c r="F17" s="234">
        <f>+Medici_2025!F17</f>
        <v>0</v>
      </c>
      <c r="G17" s="234">
        <f>+Medici_2026!E17</f>
        <v>0</v>
      </c>
      <c r="H17" s="100">
        <f>+Medici_2026!F17</f>
        <v>0</v>
      </c>
      <c r="I17" s="299">
        <f>+Medici_2024!G17</f>
        <v>0</v>
      </c>
      <c r="J17" s="300">
        <f>+Medici_2024!H17+Medici_2025!G17+Medici_2026!G17</f>
        <v>0</v>
      </c>
      <c r="K17" s="301">
        <f>+Medici_2024!I17+Medici_2025!H17+Medici_2026!H17</f>
        <v>0</v>
      </c>
      <c r="L17" s="84">
        <f>+Medici_2024!J17+Medici_2025!I17+Medici_2026!I17</f>
        <v>0</v>
      </c>
      <c r="M17" s="104"/>
      <c r="N17" s="98"/>
      <c r="O17" s="92"/>
    </row>
    <row r="18" spans="1:15" s="93" customFormat="1" ht="11.25">
      <c r="A18" s="94" t="s">
        <v>91</v>
      </c>
      <c r="B18" s="95" t="s">
        <v>92</v>
      </c>
      <c r="C18" s="233">
        <f>+Medici_2024!E18</f>
        <v>0</v>
      </c>
      <c r="D18" s="234">
        <f>+Medici_2024!F18</f>
        <v>0</v>
      </c>
      <c r="E18" s="234">
        <f>+Medici_2025!E18</f>
        <v>0</v>
      </c>
      <c r="F18" s="234">
        <f>+Medici_2025!F18</f>
        <v>0</v>
      </c>
      <c r="G18" s="234">
        <f>+Medici_2026!E18</f>
        <v>0</v>
      </c>
      <c r="H18" s="100">
        <f>+Medici_2026!F18</f>
        <v>0</v>
      </c>
      <c r="I18" s="299">
        <f>+Medici_2024!G18</f>
        <v>0</v>
      </c>
      <c r="J18" s="300">
        <f>+Medici_2024!H18+Medici_2025!G18+Medici_2026!G18</f>
        <v>0</v>
      </c>
      <c r="K18" s="301">
        <f>+Medici_2024!I18+Medici_2025!H18+Medici_2026!H18</f>
        <v>0</v>
      </c>
      <c r="L18" s="84">
        <f>+Medici_2024!J18+Medici_2025!I18+Medici_2026!I18</f>
        <v>0</v>
      </c>
      <c r="M18" s="104"/>
      <c r="N18" s="98"/>
      <c r="O18" s="92"/>
    </row>
    <row r="19" spans="1:15" s="93" customFormat="1" ht="11.25">
      <c r="A19" s="94" t="s">
        <v>93</v>
      </c>
      <c r="B19" s="95" t="s">
        <v>94</v>
      </c>
      <c r="C19" s="233">
        <f>+Medici_2024!E19</f>
        <v>0</v>
      </c>
      <c r="D19" s="234">
        <f>+Medici_2024!F19</f>
        <v>0</v>
      </c>
      <c r="E19" s="234">
        <f>+Medici_2025!E19</f>
        <v>0</v>
      </c>
      <c r="F19" s="234">
        <f>+Medici_2025!F19</f>
        <v>0</v>
      </c>
      <c r="G19" s="234">
        <f>+Medici_2026!E19</f>
        <v>0</v>
      </c>
      <c r="H19" s="100">
        <f>+Medici_2026!F19</f>
        <v>0</v>
      </c>
      <c r="I19" s="299">
        <f>+Medici_2024!G19</f>
        <v>0</v>
      </c>
      <c r="J19" s="300">
        <f>+Medici_2024!H19+Medici_2025!G19+Medici_2026!G19</f>
        <v>0</v>
      </c>
      <c r="K19" s="301">
        <f>+Medici_2024!I19+Medici_2025!H19+Medici_2026!H19</f>
        <v>0</v>
      </c>
      <c r="L19" s="84">
        <f>+Medici_2024!J19+Medici_2025!I19+Medici_2026!I19</f>
        <v>0</v>
      </c>
      <c r="M19" s="104"/>
      <c r="N19" s="98"/>
      <c r="O19" s="92"/>
    </row>
    <row r="20" spans="1:15" s="93" customFormat="1" ht="11.25">
      <c r="A20" s="94" t="s">
        <v>95</v>
      </c>
      <c r="B20" s="95" t="s">
        <v>96</v>
      </c>
      <c r="C20" s="233">
        <f>+Medici_2024!E20</f>
        <v>22</v>
      </c>
      <c r="D20" s="234">
        <f>+Medici_2024!F20</f>
        <v>2222</v>
      </c>
      <c r="E20" s="234">
        <f>+Medici_2025!E20</f>
        <v>24</v>
      </c>
      <c r="F20" s="234">
        <f>+Medici_2025!F20</f>
        <v>2424</v>
      </c>
      <c r="G20" s="234">
        <f>+Medici_2026!E20</f>
        <v>24</v>
      </c>
      <c r="H20" s="100">
        <f>+Medici_2026!F20</f>
        <v>2424</v>
      </c>
      <c r="I20" s="299">
        <f>+Medici_2024!G20</f>
        <v>0</v>
      </c>
      <c r="J20" s="300">
        <f>+Medici_2024!H20+Medici_2025!G20+Medici_2026!G20</f>
        <v>2</v>
      </c>
      <c r="K20" s="301">
        <f>+Medici_2024!I20+Medici_2025!H20+Medici_2026!H20</f>
        <v>0</v>
      </c>
      <c r="L20" s="84">
        <f>+Medici_2024!J20+Medici_2025!I20+Medici_2026!I20</f>
        <v>2</v>
      </c>
      <c r="M20" s="104"/>
      <c r="N20" s="98"/>
      <c r="O20" s="92"/>
    </row>
    <row r="21" spans="1:15" s="93" customFormat="1" ht="11.25">
      <c r="A21" s="94" t="s">
        <v>97</v>
      </c>
      <c r="B21" s="95" t="s">
        <v>98</v>
      </c>
      <c r="C21" s="233">
        <f>+Medici_2024!E21</f>
        <v>22</v>
      </c>
      <c r="D21" s="234">
        <f>+Medici_2024!F21</f>
        <v>2222</v>
      </c>
      <c r="E21" s="234">
        <f>+Medici_2025!E21</f>
        <v>24</v>
      </c>
      <c r="F21" s="234">
        <f>+Medici_2025!F21</f>
        <v>2424</v>
      </c>
      <c r="G21" s="234">
        <f>+Medici_2026!E21</f>
        <v>24</v>
      </c>
      <c r="H21" s="100">
        <f>+Medici_2026!F21</f>
        <v>2424</v>
      </c>
      <c r="I21" s="299">
        <f>+Medici_2024!G21</f>
        <v>0</v>
      </c>
      <c r="J21" s="300">
        <f>+Medici_2024!H21+Medici_2025!G21+Medici_2026!G21</f>
        <v>2</v>
      </c>
      <c r="K21" s="301">
        <f>+Medici_2024!I21+Medici_2025!H21+Medici_2026!H21</f>
        <v>0</v>
      </c>
      <c r="L21" s="84">
        <f>+Medici_2024!J21+Medici_2025!I21+Medici_2026!I21</f>
        <v>2</v>
      </c>
      <c r="M21" s="104"/>
      <c r="N21" s="98"/>
      <c r="O21" s="92"/>
    </row>
    <row r="22" spans="1:15" s="93" customFormat="1" ht="11.25">
      <c r="A22" s="94" t="s">
        <v>99</v>
      </c>
      <c r="B22" s="95" t="s">
        <v>100</v>
      </c>
      <c r="C22" s="233">
        <f>+Medici_2024!E22</f>
        <v>36</v>
      </c>
      <c r="D22" s="234">
        <f>+Medici_2024!F22</f>
        <v>3636</v>
      </c>
      <c r="E22" s="234">
        <f>+Medici_2025!E22</f>
        <v>36</v>
      </c>
      <c r="F22" s="234">
        <f>+Medici_2025!F22</f>
        <v>3636</v>
      </c>
      <c r="G22" s="234">
        <f>+Medici_2026!E22</f>
        <v>36</v>
      </c>
      <c r="H22" s="100">
        <f>+Medici_2026!F22</f>
        <v>3636</v>
      </c>
      <c r="I22" s="299">
        <f>+Medici_2024!G22</f>
        <v>0</v>
      </c>
      <c r="J22" s="300">
        <f>+Medici_2024!H22+Medici_2025!G22+Medici_2026!G22</f>
        <v>0</v>
      </c>
      <c r="K22" s="301">
        <f>+Medici_2024!I22+Medici_2025!H22+Medici_2026!H22</f>
        <v>0</v>
      </c>
      <c r="L22" s="84">
        <f>+Medici_2024!J22+Medici_2025!I22+Medici_2026!I22</f>
        <v>0</v>
      </c>
      <c r="M22" s="104"/>
      <c r="N22" s="98"/>
      <c r="O22" s="92"/>
    </row>
    <row r="23" spans="1:15" s="93" customFormat="1" ht="11.25">
      <c r="A23" s="94" t="s">
        <v>101</v>
      </c>
      <c r="B23" s="95" t="s">
        <v>102</v>
      </c>
      <c r="C23" s="233">
        <f>+Medici_2024!E23</f>
        <v>0</v>
      </c>
      <c r="D23" s="234">
        <f>+Medici_2024!F23</f>
        <v>0</v>
      </c>
      <c r="E23" s="234">
        <f>+Medici_2025!E23</f>
        <v>0</v>
      </c>
      <c r="F23" s="234">
        <f>+Medici_2025!F23</f>
        <v>101</v>
      </c>
      <c r="G23" s="234">
        <f>+Medici_2026!E23</f>
        <v>3</v>
      </c>
      <c r="H23" s="100">
        <f>+Medici_2026!F23</f>
        <v>303</v>
      </c>
      <c r="I23" s="299">
        <f>+Medici_2024!G23</f>
        <v>0</v>
      </c>
      <c r="J23" s="300">
        <f>+Medici_2024!H23+Medici_2025!G23+Medici_2026!G23</f>
        <v>6</v>
      </c>
      <c r="K23" s="301">
        <f>+Medici_2024!I23+Medici_2025!H23+Medici_2026!H23</f>
        <v>0</v>
      </c>
      <c r="L23" s="84">
        <f>+Medici_2024!J23+Medici_2025!I23+Medici_2026!I23</f>
        <v>6</v>
      </c>
      <c r="M23" s="104"/>
      <c r="N23" s="98"/>
      <c r="O23" s="92"/>
    </row>
    <row r="24" spans="1:15" s="93" customFormat="1" ht="11.25">
      <c r="A24" s="94" t="s">
        <v>103</v>
      </c>
      <c r="B24" s="95" t="s">
        <v>104</v>
      </c>
      <c r="C24" s="233">
        <f>+Medici_2024!E24</f>
        <v>37</v>
      </c>
      <c r="D24" s="234">
        <f>+Medici_2024!F24</f>
        <v>3737</v>
      </c>
      <c r="E24" s="234">
        <f>+Medici_2025!E24</f>
        <v>40</v>
      </c>
      <c r="F24" s="234">
        <f>+Medici_2025!F24</f>
        <v>4040</v>
      </c>
      <c r="G24" s="234">
        <f>+Medici_2026!E24</f>
        <v>40</v>
      </c>
      <c r="H24" s="100">
        <f>+Medici_2026!F24</f>
        <v>4040</v>
      </c>
      <c r="I24" s="299">
        <f>+Medici_2024!G24</f>
        <v>0</v>
      </c>
      <c r="J24" s="300">
        <f>+Medici_2024!H24+Medici_2025!G24+Medici_2026!G24</f>
        <v>3</v>
      </c>
      <c r="K24" s="301">
        <f>+Medici_2024!I24+Medici_2025!H24+Medici_2026!H24</f>
        <v>0</v>
      </c>
      <c r="L24" s="84">
        <f>+Medici_2024!J24+Medici_2025!I24+Medici_2026!I24</f>
        <v>3</v>
      </c>
      <c r="M24" s="104"/>
      <c r="N24" s="98"/>
      <c r="O24" s="92"/>
    </row>
    <row r="25" spans="1:15" s="93" customFormat="1" ht="11.25">
      <c r="A25" s="94" t="s">
        <v>105</v>
      </c>
      <c r="B25" s="95" t="s">
        <v>106</v>
      </c>
      <c r="C25" s="233">
        <f>+Medici_2024!E25</f>
        <v>0</v>
      </c>
      <c r="D25" s="234">
        <f>+Medici_2024!F25</f>
        <v>0</v>
      </c>
      <c r="E25" s="234">
        <f>+Medici_2025!E25</f>
        <v>0</v>
      </c>
      <c r="F25" s="234">
        <f>+Medici_2025!F25</f>
        <v>0</v>
      </c>
      <c r="G25" s="234">
        <f>+Medici_2026!E25</f>
        <v>0</v>
      </c>
      <c r="H25" s="100">
        <f>+Medici_2026!F25</f>
        <v>0</v>
      </c>
      <c r="I25" s="299">
        <f>+Medici_2024!G25</f>
        <v>0</v>
      </c>
      <c r="J25" s="300">
        <f>+Medici_2024!H25+Medici_2025!G25+Medici_2026!G25</f>
        <v>0</v>
      </c>
      <c r="K25" s="301">
        <f>+Medici_2024!I25+Medici_2025!H25+Medici_2026!H25</f>
        <v>0</v>
      </c>
      <c r="L25" s="84">
        <f>+Medici_2024!J25+Medici_2025!I25+Medici_2026!I25</f>
        <v>0</v>
      </c>
      <c r="M25" s="104"/>
      <c r="N25" s="98"/>
      <c r="O25" s="92"/>
    </row>
    <row r="26" spans="1:15" s="93" customFormat="1" ht="11.25">
      <c r="A26" s="94" t="s">
        <v>107</v>
      </c>
      <c r="B26" s="95" t="s">
        <v>108</v>
      </c>
      <c r="C26" s="233">
        <f>+Medici_2024!E26</f>
        <v>21</v>
      </c>
      <c r="D26" s="234">
        <f>+Medici_2024!F26</f>
        <v>2121</v>
      </c>
      <c r="E26" s="234">
        <f>+Medici_2025!E26</f>
        <v>21</v>
      </c>
      <c r="F26" s="234">
        <f>+Medici_2025!F26</f>
        <v>2121</v>
      </c>
      <c r="G26" s="234">
        <f>+Medici_2026!E26</f>
        <v>21</v>
      </c>
      <c r="H26" s="100">
        <f>+Medici_2026!F26</f>
        <v>2121</v>
      </c>
      <c r="I26" s="299">
        <f>+Medici_2024!G26</f>
        <v>0</v>
      </c>
      <c r="J26" s="300">
        <f>+Medici_2024!H26+Medici_2025!G26+Medici_2026!G26</f>
        <v>0</v>
      </c>
      <c r="K26" s="301">
        <f>+Medici_2024!I26+Medici_2025!H26+Medici_2026!H26</f>
        <v>0</v>
      </c>
      <c r="L26" s="84">
        <f>+Medici_2024!J26+Medici_2025!I26+Medici_2026!I26</f>
        <v>0</v>
      </c>
      <c r="M26" s="104"/>
      <c r="N26" s="98"/>
      <c r="O26" s="92"/>
    </row>
    <row r="27" spans="1:15" s="93" customFormat="1" ht="11.25">
      <c r="A27" s="94" t="s">
        <v>109</v>
      </c>
      <c r="B27" s="95" t="s">
        <v>110</v>
      </c>
      <c r="C27" s="233">
        <f>+Medici_2024!E27</f>
        <v>13</v>
      </c>
      <c r="D27" s="234">
        <f>+Medici_2024!F27</f>
        <v>1313</v>
      </c>
      <c r="E27" s="234">
        <f>+Medici_2025!E27</f>
        <v>15</v>
      </c>
      <c r="F27" s="234">
        <f>+Medici_2025!F27</f>
        <v>1515</v>
      </c>
      <c r="G27" s="234">
        <f>+Medici_2026!E27</f>
        <v>15</v>
      </c>
      <c r="H27" s="100">
        <f>+Medici_2026!F27</f>
        <v>1515</v>
      </c>
      <c r="I27" s="299">
        <f>+Medici_2024!G27</f>
        <v>0</v>
      </c>
      <c r="J27" s="300">
        <f>+Medici_2024!H27+Medici_2025!G27+Medici_2026!G27</f>
        <v>2</v>
      </c>
      <c r="K27" s="301">
        <f>+Medici_2024!I27+Medici_2025!H27+Medici_2026!H27</f>
        <v>0</v>
      </c>
      <c r="L27" s="84">
        <f>+Medici_2024!J27+Medici_2025!I27+Medici_2026!I27</f>
        <v>2</v>
      </c>
      <c r="M27" s="104"/>
      <c r="N27" s="98"/>
      <c r="O27" s="92"/>
    </row>
    <row r="28" spans="1:15" s="93" customFormat="1" ht="11.25">
      <c r="A28" s="94" t="s">
        <v>111</v>
      </c>
      <c r="B28" s="95" t="s">
        <v>112</v>
      </c>
      <c r="C28" s="233">
        <f>+Medici_2024!E28</f>
        <v>13</v>
      </c>
      <c r="D28" s="234">
        <f>+Medici_2024!F28</f>
        <v>1313</v>
      </c>
      <c r="E28" s="234">
        <f>+Medici_2025!E28</f>
        <v>13</v>
      </c>
      <c r="F28" s="234">
        <f>+Medici_2025!F28</f>
        <v>1313</v>
      </c>
      <c r="G28" s="234">
        <f>+Medici_2026!E28</f>
        <v>13</v>
      </c>
      <c r="H28" s="100">
        <f>+Medici_2026!F28</f>
        <v>1313</v>
      </c>
      <c r="I28" s="299">
        <f>+Medici_2024!G28</f>
        <v>0</v>
      </c>
      <c r="J28" s="300">
        <f>+Medici_2024!H28+Medici_2025!G28+Medici_2026!G28</f>
        <v>0</v>
      </c>
      <c r="K28" s="301">
        <f>+Medici_2024!I28+Medici_2025!H28+Medici_2026!H28</f>
        <v>0</v>
      </c>
      <c r="L28" s="84">
        <f>+Medici_2024!J28+Medici_2025!I28+Medici_2026!I28</f>
        <v>0</v>
      </c>
      <c r="M28" s="104"/>
      <c r="N28" s="98"/>
      <c r="O28" s="92"/>
    </row>
    <row r="29" spans="1:15" s="93" customFormat="1" ht="11.25">
      <c r="A29" s="94" t="s">
        <v>113</v>
      </c>
      <c r="B29" s="95" t="s">
        <v>114</v>
      </c>
      <c r="C29" s="233">
        <f>+Medici_2024!E29</f>
        <v>4</v>
      </c>
      <c r="D29" s="234">
        <f>+Medici_2024!F29</f>
        <v>404</v>
      </c>
      <c r="E29" s="234">
        <f>+Medici_2025!E29</f>
        <v>4</v>
      </c>
      <c r="F29" s="234">
        <f>+Medici_2025!F29</f>
        <v>404</v>
      </c>
      <c r="G29" s="234">
        <f>+Medici_2026!E29</f>
        <v>9</v>
      </c>
      <c r="H29" s="100">
        <f>+Medici_2026!F29</f>
        <v>909</v>
      </c>
      <c r="I29" s="299">
        <f>+Medici_2024!G29</f>
        <v>0</v>
      </c>
      <c r="J29" s="300">
        <f>+Medici_2024!H29+Medici_2025!G29+Medici_2026!G29</f>
        <v>8</v>
      </c>
      <c r="K29" s="301">
        <f>+Medici_2024!I29+Medici_2025!H29+Medici_2026!H29</f>
        <v>0</v>
      </c>
      <c r="L29" s="84">
        <f>+Medici_2024!J29+Medici_2025!I29+Medici_2026!I29</f>
        <v>8</v>
      </c>
      <c r="M29" s="104"/>
      <c r="N29" s="98"/>
      <c r="O29" s="92"/>
    </row>
    <row r="30" spans="1:15" s="93" customFormat="1" ht="11.25">
      <c r="A30" s="94" t="s">
        <v>115</v>
      </c>
      <c r="B30" s="95" t="s">
        <v>116</v>
      </c>
      <c r="C30" s="233">
        <f>+Medici_2024!E30</f>
        <v>13</v>
      </c>
      <c r="D30" s="234">
        <f>+Medici_2024!F30</f>
        <v>1313</v>
      </c>
      <c r="E30" s="234">
        <f>+Medici_2025!E30</f>
        <v>13</v>
      </c>
      <c r="F30" s="234">
        <f>+Medici_2025!F30</f>
        <v>1313</v>
      </c>
      <c r="G30" s="234">
        <f>+Medici_2026!E30</f>
        <v>18</v>
      </c>
      <c r="H30" s="100">
        <f>+Medici_2026!F30</f>
        <v>1818</v>
      </c>
      <c r="I30" s="299">
        <f>+Medici_2024!G30</f>
        <v>0</v>
      </c>
      <c r="J30" s="300">
        <f>+Medici_2024!H30+Medici_2025!G30+Medici_2026!G30</f>
        <v>10</v>
      </c>
      <c r="K30" s="301">
        <f>+Medici_2024!I30+Medici_2025!H30+Medici_2026!H30</f>
        <v>0</v>
      </c>
      <c r="L30" s="84">
        <f>+Medici_2024!J30+Medici_2025!I30+Medici_2026!I30</f>
        <v>10</v>
      </c>
      <c r="M30" s="104"/>
      <c r="N30" s="98"/>
      <c r="O30" s="92"/>
    </row>
    <row r="31" spans="1:15" s="93" customFormat="1" ht="11.25">
      <c r="A31" s="94" t="s">
        <v>117</v>
      </c>
      <c r="B31" s="95" t="s">
        <v>118</v>
      </c>
      <c r="C31" s="233">
        <f>+Medici_2024!E31</f>
        <v>50</v>
      </c>
      <c r="D31" s="234">
        <f>+Medici_2024!F31</f>
        <v>5050</v>
      </c>
      <c r="E31" s="234">
        <f>+Medici_2025!E31</f>
        <v>50</v>
      </c>
      <c r="F31" s="234">
        <f>+Medici_2025!F31</f>
        <v>5050</v>
      </c>
      <c r="G31" s="234">
        <f>+Medici_2026!E31</f>
        <v>55</v>
      </c>
      <c r="H31" s="100">
        <f>+Medici_2026!F31</f>
        <v>5555</v>
      </c>
      <c r="I31" s="299">
        <f>+Medici_2024!G31</f>
        <v>0</v>
      </c>
      <c r="J31" s="300">
        <f>+Medici_2024!H31+Medici_2025!G31+Medici_2026!G31</f>
        <v>9</v>
      </c>
      <c r="K31" s="301">
        <f>+Medici_2024!I31+Medici_2025!H31+Medici_2026!H31</f>
        <v>0</v>
      </c>
      <c r="L31" s="84">
        <f>+Medici_2024!J31+Medici_2025!I31+Medici_2026!I31</f>
        <v>9</v>
      </c>
      <c r="M31" s="104"/>
      <c r="N31" s="98"/>
      <c r="O31" s="92"/>
    </row>
    <row r="32" spans="1:15" s="93" customFormat="1" ht="11.25">
      <c r="A32" s="94" t="s">
        <v>119</v>
      </c>
      <c r="B32" s="95" t="s">
        <v>120</v>
      </c>
      <c r="C32" s="233">
        <f>+Medici_2024!E32</f>
        <v>0</v>
      </c>
      <c r="D32" s="234">
        <f>+Medici_2024!F32</f>
        <v>0</v>
      </c>
      <c r="E32" s="234">
        <f>+Medici_2025!E32</f>
        <v>0</v>
      </c>
      <c r="F32" s="234">
        <f>+Medici_2025!F32</f>
        <v>0</v>
      </c>
      <c r="G32" s="234">
        <f>+Medici_2026!E32</f>
        <v>0</v>
      </c>
      <c r="H32" s="100">
        <f>+Medici_2026!F32</f>
        <v>0</v>
      </c>
      <c r="I32" s="299">
        <f>+Medici_2024!G32</f>
        <v>0</v>
      </c>
      <c r="J32" s="300">
        <f>+Medici_2024!H32+Medici_2025!G32+Medici_2026!G32</f>
        <v>0</v>
      </c>
      <c r="K32" s="301">
        <f>+Medici_2024!I32+Medici_2025!H32+Medici_2026!H32</f>
        <v>0</v>
      </c>
      <c r="L32" s="84">
        <f>+Medici_2024!J32+Medici_2025!I32+Medici_2026!I32</f>
        <v>0</v>
      </c>
      <c r="M32" s="104"/>
      <c r="N32" s="98"/>
      <c r="O32" s="92"/>
    </row>
    <row r="33" spans="1:15" s="93" customFormat="1" ht="11.25">
      <c r="A33" s="94" t="s">
        <v>121</v>
      </c>
      <c r="B33" s="95" t="s">
        <v>122</v>
      </c>
      <c r="C33" s="233">
        <f>+Medici_2024!E33</f>
        <v>7</v>
      </c>
      <c r="D33" s="234">
        <f>+Medici_2024!F33</f>
        <v>707</v>
      </c>
      <c r="E33" s="234">
        <f>+Medici_2025!E33</f>
        <v>8</v>
      </c>
      <c r="F33" s="234">
        <f>+Medici_2025!F33</f>
        <v>808</v>
      </c>
      <c r="G33" s="234">
        <f>+Medici_2026!E33</f>
        <v>8</v>
      </c>
      <c r="H33" s="100">
        <f>+Medici_2026!F33</f>
        <v>808</v>
      </c>
      <c r="I33" s="299">
        <f>+Medici_2024!G33</f>
        <v>0</v>
      </c>
      <c r="J33" s="300">
        <f>+Medici_2024!H33+Medici_2025!G33+Medici_2026!G33</f>
        <v>1</v>
      </c>
      <c r="K33" s="301">
        <f>+Medici_2024!I33+Medici_2025!H33+Medici_2026!H33</f>
        <v>0</v>
      </c>
      <c r="L33" s="84">
        <f>+Medici_2024!J33+Medici_2025!I33+Medici_2026!I33</f>
        <v>1</v>
      </c>
      <c r="M33" s="104"/>
      <c r="N33" s="98"/>
      <c r="O33" s="92"/>
    </row>
    <row r="34" spans="1:15" s="93" customFormat="1" ht="11.25">
      <c r="A34" s="94" t="s">
        <v>123</v>
      </c>
      <c r="B34" s="95" t="s">
        <v>124</v>
      </c>
      <c r="C34" s="233">
        <f>+Medici_2024!E34</f>
        <v>2</v>
      </c>
      <c r="D34" s="234">
        <f>+Medici_2024!F34</f>
        <v>202</v>
      </c>
      <c r="E34" s="234">
        <f>+Medici_2025!E34</f>
        <v>2</v>
      </c>
      <c r="F34" s="234">
        <f>+Medici_2025!F34</f>
        <v>202</v>
      </c>
      <c r="G34" s="234">
        <f>+Medici_2026!E34</f>
        <v>3</v>
      </c>
      <c r="H34" s="100">
        <f>+Medici_2026!F34</f>
        <v>303</v>
      </c>
      <c r="I34" s="299">
        <f>+Medici_2024!G34</f>
        <v>0</v>
      </c>
      <c r="J34" s="300">
        <f>+Medici_2024!H34+Medici_2025!G34+Medici_2026!G34</f>
        <v>2</v>
      </c>
      <c r="K34" s="301">
        <f>+Medici_2024!I34+Medici_2025!H34+Medici_2026!H34</f>
        <v>0</v>
      </c>
      <c r="L34" s="84">
        <f>+Medici_2024!J34+Medici_2025!I34+Medici_2026!I34</f>
        <v>2</v>
      </c>
      <c r="M34" s="104"/>
      <c r="N34" s="98"/>
      <c r="O34" s="92"/>
    </row>
    <row r="35" spans="1:15" s="93" customFormat="1" ht="11.25">
      <c r="A35" s="94" t="s">
        <v>125</v>
      </c>
      <c r="B35" s="95" t="s">
        <v>126</v>
      </c>
      <c r="C35" s="233">
        <f>+Medici_2024!E35</f>
        <v>0</v>
      </c>
      <c r="D35" s="234">
        <f>+Medici_2024!F35</f>
        <v>0</v>
      </c>
      <c r="E35" s="234">
        <f>+Medici_2025!E35</f>
        <v>0</v>
      </c>
      <c r="F35" s="234">
        <f>+Medici_2025!F35</f>
        <v>0</v>
      </c>
      <c r="G35" s="234">
        <f>+Medici_2026!E35</f>
        <v>9</v>
      </c>
      <c r="H35" s="100">
        <f>+Medici_2026!F35</f>
        <v>909</v>
      </c>
      <c r="I35" s="299">
        <f>+Medici_2024!G35</f>
        <v>0</v>
      </c>
      <c r="J35" s="300">
        <f>+Medici_2024!H35+Medici_2025!G35+Medici_2026!G35</f>
        <v>18</v>
      </c>
      <c r="K35" s="301">
        <f>+Medici_2024!I35+Medici_2025!H35+Medici_2026!H35</f>
        <v>0</v>
      </c>
      <c r="L35" s="84">
        <f>+Medici_2024!J35+Medici_2025!I35+Medici_2026!I35</f>
        <v>18</v>
      </c>
      <c r="M35" s="104"/>
      <c r="N35" s="98"/>
      <c r="O35" s="92"/>
    </row>
    <row r="36" spans="1:15" s="93" customFormat="1" ht="11.25">
      <c r="A36" s="94" t="s">
        <v>127</v>
      </c>
      <c r="B36" s="95" t="s">
        <v>128</v>
      </c>
      <c r="C36" s="233">
        <f>+Medici_2024!E36</f>
        <v>21</v>
      </c>
      <c r="D36" s="234">
        <f>+Medici_2024!F36</f>
        <v>2121</v>
      </c>
      <c r="E36" s="234">
        <f>+Medici_2025!E36</f>
        <v>25</v>
      </c>
      <c r="F36" s="234">
        <f>+Medici_2025!F36</f>
        <v>2525</v>
      </c>
      <c r="G36" s="234">
        <f>+Medici_2026!E36</f>
        <v>30</v>
      </c>
      <c r="H36" s="100">
        <f>+Medici_2026!F36</f>
        <v>3030</v>
      </c>
      <c r="I36" s="299">
        <f>+Medici_2024!G36</f>
        <v>0</v>
      </c>
      <c r="J36" s="300">
        <f>+Medici_2024!H36+Medici_2025!G36+Medici_2026!G36</f>
        <v>14</v>
      </c>
      <c r="K36" s="301">
        <f>+Medici_2024!I36+Medici_2025!H36+Medici_2026!H36</f>
        <v>0</v>
      </c>
      <c r="L36" s="84">
        <f>+Medici_2024!J36+Medici_2025!I36+Medici_2026!I36</f>
        <v>14</v>
      </c>
      <c r="M36" s="104"/>
      <c r="N36" s="98"/>
      <c r="O36" s="92"/>
    </row>
    <row r="37" spans="1:15" s="93" customFormat="1" ht="11.25">
      <c r="A37" s="94" t="s">
        <v>129</v>
      </c>
      <c r="B37" s="95" t="s">
        <v>130</v>
      </c>
      <c r="C37" s="233">
        <f>+Medici_2024!E37</f>
        <v>7</v>
      </c>
      <c r="D37" s="234">
        <f>+Medici_2024!F37</f>
        <v>707</v>
      </c>
      <c r="E37" s="234">
        <f>+Medici_2025!E37</f>
        <v>7</v>
      </c>
      <c r="F37" s="234">
        <f>+Medici_2025!F37</f>
        <v>707</v>
      </c>
      <c r="G37" s="234">
        <f>+Medici_2026!E37</f>
        <v>9</v>
      </c>
      <c r="H37" s="100">
        <f>+Medici_2026!F37</f>
        <v>909</v>
      </c>
      <c r="I37" s="299">
        <f>+Medici_2024!G37</f>
        <v>0</v>
      </c>
      <c r="J37" s="300">
        <f>+Medici_2024!H37+Medici_2025!G37+Medici_2026!G37</f>
        <v>4</v>
      </c>
      <c r="K37" s="301">
        <f>+Medici_2024!I37+Medici_2025!H37+Medici_2026!H37</f>
        <v>0</v>
      </c>
      <c r="L37" s="84">
        <f>+Medici_2024!J37+Medici_2025!I37+Medici_2026!I37</f>
        <v>4</v>
      </c>
      <c r="M37" s="104"/>
      <c r="N37" s="98"/>
      <c r="O37" s="92"/>
    </row>
    <row r="38" spans="1:15" s="93" customFormat="1" ht="11.25">
      <c r="A38" s="94" t="s">
        <v>131</v>
      </c>
      <c r="B38" s="95" t="s">
        <v>132</v>
      </c>
      <c r="C38" s="233">
        <f>+Medici_2024!E38</f>
        <v>11</v>
      </c>
      <c r="D38" s="234">
        <f>+Medici_2024!F38</f>
        <v>1111</v>
      </c>
      <c r="E38" s="234">
        <f>+Medici_2025!E38</f>
        <v>11</v>
      </c>
      <c r="F38" s="234">
        <f>+Medici_2025!F38</f>
        <v>1111</v>
      </c>
      <c r="G38" s="234">
        <f>+Medici_2026!E38</f>
        <v>11</v>
      </c>
      <c r="H38" s="100">
        <f>+Medici_2026!F38</f>
        <v>1111</v>
      </c>
      <c r="I38" s="299">
        <f>+Medici_2024!G38</f>
        <v>0</v>
      </c>
      <c r="J38" s="300">
        <f>+Medici_2024!H38+Medici_2025!G38+Medici_2026!G38</f>
        <v>0</v>
      </c>
      <c r="K38" s="301">
        <f>+Medici_2024!I38+Medici_2025!H38+Medici_2026!H38</f>
        <v>0</v>
      </c>
      <c r="L38" s="84">
        <f>+Medici_2024!J38+Medici_2025!I38+Medici_2026!I38</f>
        <v>0</v>
      </c>
      <c r="M38" s="104"/>
      <c r="N38" s="98"/>
      <c r="O38" s="92"/>
    </row>
    <row r="39" spans="1:15" s="93" customFormat="1" ht="11.25">
      <c r="A39" s="94" t="s">
        <v>133</v>
      </c>
      <c r="B39" s="95" t="s">
        <v>134</v>
      </c>
      <c r="C39" s="233">
        <f>+Medici_2024!E39</f>
        <v>14</v>
      </c>
      <c r="D39" s="234">
        <f>+Medici_2024!F39</f>
        <v>1414</v>
      </c>
      <c r="E39" s="234">
        <f>+Medici_2025!E39</f>
        <v>14</v>
      </c>
      <c r="F39" s="234">
        <f>+Medici_2025!F39</f>
        <v>1414</v>
      </c>
      <c r="G39" s="234">
        <f>+Medici_2026!E39</f>
        <v>21</v>
      </c>
      <c r="H39" s="100">
        <f>+Medici_2026!F39</f>
        <v>2121</v>
      </c>
      <c r="I39" s="299">
        <f>+Medici_2024!G39</f>
        <v>0</v>
      </c>
      <c r="J39" s="300">
        <f>+Medici_2024!H39+Medici_2025!G39+Medici_2026!G39</f>
        <v>14</v>
      </c>
      <c r="K39" s="301">
        <f>+Medici_2024!I39+Medici_2025!H39+Medici_2026!H39</f>
        <v>0</v>
      </c>
      <c r="L39" s="84">
        <f>+Medici_2024!J39+Medici_2025!I39+Medici_2026!I39</f>
        <v>14</v>
      </c>
      <c r="M39" s="104"/>
      <c r="N39" s="98"/>
      <c r="O39" s="92"/>
    </row>
    <row r="40" spans="1:15" s="93" customFormat="1" ht="11.25">
      <c r="A40" s="94" t="s">
        <v>135</v>
      </c>
      <c r="B40" s="95" t="s">
        <v>136</v>
      </c>
      <c r="C40" s="233">
        <f>+Medici_2024!E40</f>
        <v>7</v>
      </c>
      <c r="D40" s="234">
        <f>+Medici_2024!F40</f>
        <v>707</v>
      </c>
      <c r="E40" s="234">
        <f>+Medici_2025!E40</f>
        <v>7</v>
      </c>
      <c r="F40" s="234">
        <f>+Medici_2025!F40</f>
        <v>707</v>
      </c>
      <c r="G40" s="234">
        <f>+Medici_2026!E40</f>
        <v>9</v>
      </c>
      <c r="H40" s="100">
        <f>+Medici_2026!F40</f>
        <v>909</v>
      </c>
      <c r="I40" s="299">
        <f>+Medici_2024!G40</f>
        <v>0</v>
      </c>
      <c r="J40" s="300">
        <f>+Medici_2024!H40+Medici_2025!G40+Medici_2026!G40</f>
        <v>4</v>
      </c>
      <c r="K40" s="301">
        <f>+Medici_2024!I40+Medici_2025!H40+Medici_2026!H40</f>
        <v>0</v>
      </c>
      <c r="L40" s="84">
        <f>+Medici_2024!J40+Medici_2025!I40+Medici_2026!I40</f>
        <v>4</v>
      </c>
      <c r="M40" s="104"/>
      <c r="N40" s="98"/>
      <c r="O40" s="92"/>
    </row>
    <row r="41" spans="1:15" s="93" customFormat="1" ht="11.25">
      <c r="A41" s="94" t="s">
        <v>137</v>
      </c>
      <c r="B41" s="95" t="s">
        <v>138</v>
      </c>
      <c r="C41" s="233">
        <f>+Medici_2024!E41</f>
        <v>12</v>
      </c>
      <c r="D41" s="234">
        <f>+Medici_2024!F41</f>
        <v>1212</v>
      </c>
      <c r="E41" s="234">
        <f>+Medici_2025!E41</f>
        <v>12</v>
      </c>
      <c r="F41" s="234">
        <f>+Medici_2025!F41</f>
        <v>1212</v>
      </c>
      <c r="G41" s="234">
        <f>+Medici_2026!E41</f>
        <v>13</v>
      </c>
      <c r="H41" s="100">
        <f>+Medici_2026!F41</f>
        <v>1313</v>
      </c>
      <c r="I41" s="299">
        <f>+Medici_2024!G41</f>
        <v>0</v>
      </c>
      <c r="J41" s="300">
        <f>+Medici_2024!H41+Medici_2025!G41+Medici_2026!G41</f>
        <v>2</v>
      </c>
      <c r="K41" s="301">
        <f>+Medici_2024!I41+Medici_2025!H41+Medici_2026!H41</f>
        <v>0</v>
      </c>
      <c r="L41" s="84">
        <f>+Medici_2024!J41+Medici_2025!I41+Medici_2026!I41</f>
        <v>2</v>
      </c>
      <c r="M41" s="104"/>
      <c r="N41" s="98"/>
      <c r="O41" s="92"/>
    </row>
    <row r="42" spans="1:15" s="93" customFormat="1" ht="11.25">
      <c r="A42" s="94" t="s">
        <v>139</v>
      </c>
      <c r="B42" s="95" t="s">
        <v>140</v>
      </c>
      <c r="C42" s="233">
        <f>+Medici_2024!E42</f>
        <v>28</v>
      </c>
      <c r="D42" s="234">
        <f>+Medici_2024!F42</f>
        <v>2828</v>
      </c>
      <c r="E42" s="234">
        <f>+Medici_2025!E42</f>
        <v>28</v>
      </c>
      <c r="F42" s="234">
        <f>+Medici_2025!F42</f>
        <v>2828</v>
      </c>
      <c r="G42" s="234">
        <f>+Medici_2026!E42</f>
        <v>30</v>
      </c>
      <c r="H42" s="100">
        <f>+Medici_2026!F42</f>
        <v>3030</v>
      </c>
      <c r="I42" s="299">
        <f>+Medici_2024!G42</f>
        <v>0</v>
      </c>
      <c r="J42" s="300">
        <f>+Medici_2024!H42+Medici_2025!G42+Medici_2026!G42</f>
        <v>4</v>
      </c>
      <c r="K42" s="301">
        <f>+Medici_2024!I42+Medici_2025!H42+Medici_2026!H42</f>
        <v>0</v>
      </c>
      <c r="L42" s="84">
        <f>+Medici_2024!J42+Medici_2025!I42+Medici_2026!I42</f>
        <v>4</v>
      </c>
      <c r="M42" s="104"/>
      <c r="N42" s="98"/>
      <c r="O42" s="92"/>
    </row>
    <row r="43" spans="1:15" s="93" customFormat="1" ht="11.25">
      <c r="A43" s="94" t="s">
        <v>141</v>
      </c>
      <c r="B43" s="95" t="s">
        <v>142</v>
      </c>
      <c r="C43" s="233">
        <f>+Medici_2024!E43</f>
        <v>16</v>
      </c>
      <c r="D43" s="234">
        <f>+Medici_2024!F43</f>
        <v>1616</v>
      </c>
      <c r="E43" s="234">
        <f>+Medici_2025!E43</f>
        <v>16</v>
      </c>
      <c r="F43" s="234">
        <f>+Medici_2025!F43</f>
        <v>1616</v>
      </c>
      <c r="G43" s="234">
        <f>+Medici_2026!E43</f>
        <v>16</v>
      </c>
      <c r="H43" s="100">
        <f>+Medici_2026!F43</f>
        <v>1616</v>
      </c>
      <c r="I43" s="299">
        <f>+Medici_2024!G43</f>
        <v>0</v>
      </c>
      <c r="J43" s="300">
        <f>+Medici_2024!H43+Medici_2025!G43+Medici_2026!G43</f>
        <v>1</v>
      </c>
      <c r="K43" s="301">
        <f>+Medici_2024!I43+Medici_2025!H43+Medici_2026!H43</f>
        <v>0</v>
      </c>
      <c r="L43" s="84">
        <f>+Medici_2024!J43+Medici_2025!I43+Medici_2026!I43</f>
        <v>1</v>
      </c>
      <c r="M43" s="104"/>
      <c r="N43" s="98"/>
      <c r="O43" s="92"/>
    </row>
    <row r="44" spans="1:15" s="93" customFormat="1" ht="11.25">
      <c r="A44" s="94" t="s">
        <v>143</v>
      </c>
      <c r="B44" s="95" t="s">
        <v>144</v>
      </c>
      <c r="C44" s="233">
        <f>+Medici_2024!E44</f>
        <v>9</v>
      </c>
      <c r="D44" s="234">
        <f>+Medici_2024!F44</f>
        <v>909</v>
      </c>
      <c r="E44" s="234">
        <f>+Medici_2025!E44</f>
        <v>9</v>
      </c>
      <c r="F44" s="234">
        <f>+Medici_2025!F44</f>
        <v>909</v>
      </c>
      <c r="G44" s="234">
        <f>+Medici_2026!E44</f>
        <v>9</v>
      </c>
      <c r="H44" s="100">
        <f>+Medici_2026!F44</f>
        <v>909</v>
      </c>
      <c r="I44" s="299">
        <f>+Medici_2024!G44</f>
        <v>0</v>
      </c>
      <c r="J44" s="300">
        <f>+Medici_2024!H44+Medici_2025!G44+Medici_2026!G44</f>
        <v>0</v>
      </c>
      <c r="K44" s="301">
        <f>+Medici_2024!I44+Medici_2025!H44+Medici_2026!H44</f>
        <v>0</v>
      </c>
      <c r="L44" s="84">
        <f>+Medici_2024!J44+Medici_2025!I44+Medici_2026!I44</f>
        <v>0</v>
      </c>
      <c r="M44" s="104"/>
      <c r="N44" s="98"/>
      <c r="O44" s="92"/>
    </row>
    <row r="45" spans="1:15" s="93" customFormat="1" ht="11.25">
      <c r="A45" s="94" t="s">
        <v>145</v>
      </c>
      <c r="B45" s="95" t="s">
        <v>146</v>
      </c>
      <c r="C45" s="233">
        <f>+Medici_2024!E45</f>
        <v>12</v>
      </c>
      <c r="D45" s="234">
        <f>+Medici_2024!F45</f>
        <v>1212</v>
      </c>
      <c r="E45" s="234">
        <f>+Medici_2025!E45</f>
        <v>16</v>
      </c>
      <c r="F45" s="234">
        <f>+Medici_2025!F45</f>
        <v>1616</v>
      </c>
      <c r="G45" s="234">
        <f>+Medici_2026!E45</f>
        <v>16</v>
      </c>
      <c r="H45" s="100">
        <f>+Medici_2026!F45</f>
        <v>1616</v>
      </c>
      <c r="I45" s="299">
        <f>+Medici_2024!G45</f>
        <v>0</v>
      </c>
      <c r="J45" s="300">
        <f>+Medici_2024!H45+Medici_2025!G45+Medici_2026!G45</f>
        <v>9</v>
      </c>
      <c r="K45" s="301">
        <f>+Medici_2024!I45+Medici_2025!H45+Medici_2026!H45</f>
        <v>0</v>
      </c>
      <c r="L45" s="84">
        <f>+Medici_2024!J45+Medici_2025!I45+Medici_2026!I45</f>
        <v>9</v>
      </c>
      <c r="M45" s="104"/>
      <c r="N45" s="98"/>
      <c r="O45" s="92"/>
    </row>
    <row r="46" spans="1:15" s="93" customFormat="1" ht="11.25">
      <c r="A46" s="94" t="s">
        <v>147</v>
      </c>
      <c r="B46" s="95" t="s">
        <v>148</v>
      </c>
      <c r="C46" s="233">
        <f>+Medici_2024!E46</f>
        <v>8</v>
      </c>
      <c r="D46" s="234">
        <f>+Medici_2024!F46</f>
        <v>808</v>
      </c>
      <c r="E46" s="234">
        <f>+Medici_2025!E46</f>
        <v>11</v>
      </c>
      <c r="F46" s="234">
        <f>+Medici_2025!F46</f>
        <v>1111</v>
      </c>
      <c r="G46" s="234">
        <f>+Medici_2026!E46</f>
        <v>11</v>
      </c>
      <c r="H46" s="100">
        <f>+Medici_2026!F46</f>
        <v>1111</v>
      </c>
      <c r="I46" s="299">
        <f>+Medici_2024!G46</f>
        <v>0</v>
      </c>
      <c r="J46" s="300">
        <f>+Medici_2024!H46+Medici_2025!G46+Medici_2026!G46</f>
        <v>3</v>
      </c>
      <c r="K46" s="301">
        <f>+Medici_2024!I46+Medici_2025!H46+Medici_2026!H46</f>
        <v>0</v>
      </c>
      <c r="L46" s="84">
        <f>+Medici_2024!J46+Medici_2025!I46+Medici_2026!I46</f>
        <v>3</v>
      </c>
      <c r="M46" s="104"/>
      <c r="N46" s="98"/>
      <c r="O46" s="92"/>
    </row>
    <row r="47" spans="1:15" s="93" customFormat="1" ht="11.25">
      <c r="A47" s="94" t="s">
        <v>149</v>
      </c>
      <c r="B47" s="95" t="s">
        <v>150</v>
      </c>
      <c r="C47" s="233">
        <f>+Medici_2024!E47</f>
        <v>11</v>
      </c>
      <c r="D47" s="234">
        <f>+Medici_2024!F47</f>
        <v>1111</v>
      </c>
      <c r="E47" s="234">
        <f>+Medici_2025!E47</f>
        <v>11</v>
      </c>
      <c r="F47" s="234">
        <f>+Medici_2025!F47</f>
        <v>1111</v>
      </c>
      <c r="G47" s="234">
        <f>+Medici_2026!E47</f>
        <v>11</v>
      </c>
      <c r="H47" s="100">
        <f>+Medici_2026!F47</f>
        <v>1111</v>
      </c>
      <c r="I47" s="299">
        <f>+Medici_2024!G47</f>
        <v>0</v>
      </c>
      <c r="J47" s="300">
        <f>+Medici_2024!H47+Medici_2025!G47+Medici_2026!G47</f>
        <v>5</v>
      </c>
      <c r="K47" s="301">
        <f>+Medici_2024!I47+Medici_2025!H47+Medici_2026!H47</f>
        <v>0</v>
      </c>
      <c r="L47" s="84">
        <f>+Medici_2024!J47+Medici_2025!I47+Medici_2026!I47</f>
        <v>5</v>
      </c>
      <c r="M47" s="104"/>
      <c r="N47" s="98"/>
      <c r="O47" s="92"/>
    </row>
    <row r="48" spans="1:15" s="93" customFormat="1" ht="11.25">
      <c r="A48" s="94" t="s">
        <v>151</v>
      </c>
      <c r="B48" s="95" t="s">
        <v>152</v>
      </c>
      <c r="C48" s="233">
        <f>+Medici_2024!E48</f>
        <v>8</v>
      </c>
      <c r="D48" s="234">
        <f>+Medici_2024!F48</f>
        <v>808</v>
      </c>
      <c r="E48" s="234">
        <f>+Medici_2025!E48</f>
        <v>8</v>
      </c>
      <c r="F48" s="234">
        <f>+Medici_2025!F48</f>
        <v>808</v>
      </c>
      <c r="G48" s="234">
        <f>+Medici_2026!E48</f>
        <v>8</v>
      </c>
      <c r="H48" s="100">
        <f>+Medici_2026!F48</f>
        <v>808</v>
      </c>
      <c r="I48" s="299">
        <f>+Medici_2024!G48</f>
        <v>0</v>
      </c>
      <c r="J48" s="300">
        <f>+Medici_2024!H48+Medici_2025!G48+Medici_2026!G48</f>
        <v>0</v>
      </c>
      <c r="K48" s="301">
        <f>+Medici_2024!I48+Medici_2025!H48+Medici_2026!H48</f>
        <v>0</v>
      </c>
      <c r="L48" s="84">
        <f>+Medici_2024!J48+Medici_2025!I48+Medici_2026!I48</f>
        <v>0</v>
      </c>
      <c r="M48" s="104"/>
      <c r="N48" s="98"/>
      <c r="O48" s="92"/>
    </row>
    <row r="49" spans="1:15" s="93" customFormat="1" ht="11.25">
      <c r="A49" s="94" t="s">
        <v>153</v>
      </c>
      <c r="B49" s="95" t="s">
        <v>154</v>
      </c>
      <c r="C49" s="233">
        <f>+Medici_2024!E49</f>
        <v>102</v>
      </c>
      <c r="D49" s="234">
        <f>+Medici_2024!F49</f>
        <v>10302</v>
      </c>
      <c r="E49" s="234">
        <f>+Medici_2025!E49</f>
        <v>105</v>
      </c>
      <c r="F49" s="234">
        <f>+Medici_2025!F49</f>
        <v>10605</v>
      </c>
      <c r="G49" s="234">
        <f>+Medici_2026!E49</f>
        <v>105</v>
      </c>
      <c r="H49" s="100">
        <f>+Medici_2026!F49</f>
        <v>10605</v>
      </c>
      <c r="I49" s="299">
        <f>+Medici_2024!G49</f>
        <v>0</v>
      </c>
      <c r="J49" s="300">
        <f>+Medici_2024!H49+Medici_2025!G49+Medici_2026!G49</f>
        <v>3</v>
      </c>
      <c r="K49" s="301">
        <f>+Medici_2024!I49+Medici_2025!H49+Medici_2026!H49</f>
        <v>0</v>
      </c>
      <c r="L49" s="84">
        <f>+Medici_2024!J49+Medici_2025!I49+Medici_2026!I49</f>
        <v>3</v>
      </c>
      <c r="M49" s="104"/>
      <c r="N49" s="98"/>
      <c r="O49" s="92"/>
    </row>
    <row r="50" spans="1:15" s="93" customFormat="1" ht="11.25">
      <c r="A50" s="94" t="s">
        <v>155</v>
      </c>
      <c r="B50" s="95" t="s">
        <v>156</v>
      </c>
      <c r="C50" s="233">
        <f>+Medici_2024!E50</f>
        <v>0</v>
      </c>
      <c r="D50" s="234">
        <f>+Medici_2024!F50</f>
        <v>0</v>
      </c>
      <c r="E50" s="234">
        <f>+Medici_2025!E50</f>
        <v>0</v>
      </c>
      <c r="F50" s="234">
        <f>+Medici_2025!F50</f>
        <v>0</v>
      </c>
      <c r="G50" s="234">
        <f>+Medici_2026!E50</f>
        <v>0</v>
      </c>
      <c r="H50" s="100">
        <f>+Medici_2026!F50</f>
        <v>0</v>
      </c>
      <c r="I50" s="299">
        <f>+Medici_2024!G50</f>
        <v>0</v>
      </c>
      <c r="J50" s="300">
        <f>+Medici_2024!H50+Medici_2025!G50+Medici_2026!G50</f>
        <v>0</v>
      </c>
      <c r="K50" s="301">
        <f>+Medici_2024!I50+Medici_2025!H50+Medici_2026!H50</f>
        <v>0</v>
      </c>
      <c r="L50" s="84">
        <f>+Medici_2024!J50+Medici_2025!I50+Medici_2026!I50</f>
        <v>0</v>
      </c>
      <c r="M50" s="104"/>
      <c r="N50" s="98"/>
      <c r="O50" s="92"/>
    </row>
    <row r="51" spans="1:15" s="93" customFormat="1" ht="11.25">
      <c r="A51" s="94" t="s">
        <v>157</v>
      </c>
      <c r="B51" s="95" t="s">
        <v>158</v>
      </c>
      <c r="C51" s="233">
        <f>+Medici_2024!E51</f>
        <v>0</v>
      </c>
      <c r="D51" s="234">
        <f>+Medici_2024!F51</f>
        <v>0</v>
      </c>
      <c r="E51" s="234">
        <f>+Medici_2025!E51</f>
        <v>0</v>
      </c>
      <c r="F51" s="234">
        <f>+Medici_2025!F51</f>
        <v>0</v>
      </c>
      <c r="G51" s="234">
        <f>+Medici_2026!E51</f>
        <v>0</v>
      </c>
      <c r="H51" s="100">
        <f>+Medici_2026!F51</f>
        <v>0</v>
      </c>
      <c r="I51" s="299">
        <f>+Medici_2024!G51</f>
        <v>0</v>
      </c>
      <c r="J51" s="300">
        <f>+Medici_2024!H51+Medici_2025!G51+Medici_2026!G51</f>
        <v>0</v>
      </c>
      <c r="K51" s="301">
        <f>+Medici_2024!I51+Medici_2025!H51+Medici_2026!H51</f>
        <v>0</v>
      </c>
      <c r="L51" s="84">
        <f>+Medici_2024!J51+Medici_2025!I51+Medici_2026!I51</f>
        <v>0</v>
      </c>
      <c r="M51" s="104"/>
      <c r="N51" s="98"/>
      <c r="O51" s="92"/>
    </row>
    <row r="52" spans="1:15" s="93" customFormat="1" ht="11.25">
      <c r="A52" s="94" t="s">
        <v>159</v>
      </c>
      <c r="B52" s="95" t="s">
        <v>160</v>
      </c>
      <c r="C52" s="233">
        <f>+Medici_2024!E52</f>
        <v>0</v>
      </c>
      <c r="D52" s="234">
        <f>+Medici_2024!F52</f>
        <v>0</v>
      </c>
      <c r="E52" s="234">
        <f>+Medici_2025!E52</f>
        <v>0</v>
      </c>
      <c r="F52" s="234">
        <f>+Medici_2025!F52</f>
        <v>0</v>
      </c>
      <c r="G52" s="234">
        <f>+Medici_2026!E52</f>
        <v>0</v>
      </c>
      <c r="H52" s="100">
        <f>+Medici_2026!F52</f>
        <v>0</v>
      </c>
      <c r="I52" s="299">
        <f>+Medici_2024!G52</f>
        <v>0</v>
      </c>
      <c r="J52" s="300">
        <f>+Medici_2024!H52+Medici_2025!G52+Medici_2026!G52</f>
        <v>0</v>
      </c>
      <c r="K52" s="301">
        <f>+Medici_2024!I52+Medici_2025!H52+Medici_2026!H52</f>
        <v>0</v>
      </c>
      <c r="L52" s="84">
        <f>+Medici_2024!J52+Medici_2025!I52+Medici_2026!I52</f>
        <v>0</v>
      </c>
      <c r="M52" s="104"/>
      <c r="N52" s="98"/>
      <c r="O52" s="92"/>
    </row>
    <row r="53" spans="1:15" s="93" customFormat="1" ht="11.25">
      <c r="A53" s="94" t="s">
        <v>161</v>
      </c>
      <c r="B53" s="95" t="s">
        <v>162</v>
      </c>
      <c r="C53" s="233">
        <f>+Medici_2024!E53</f>
        <v>11</v>
      </c>
      <c r="D53" s="234">
        <f>+Medici_2024!F53</f>
        <v>1111</v>
      </c>
      <c r="E53" s="234">
        <f>+Medici_2025!E53</f>
        <v>11</v>
      </c>
      <c r="F53" s="234">
        <f>+Medici_2025!F53</f>
        <v>1111</v>
      </c>
      <c r="G53" s="234">
        <f>+Medici_2026!E53</f>
        <v>11</v>
      </c>
      <c r="H53" s="100">
        <f>+Medici_2026!F53</f>
        <v>1111</v>
      </c>
      <c r="I53" s="299">
        <f>+Medici_2024!G53</f>
        <v>0</v>
      </c>
      <c r="J53" s="300">
        <f>+Medici_2024!H53+Medici_2025!G53+Medici_2026!G53</f>
        <v>0</v>
      </c>
      <c r="K53" s="301">
        <f>+Medici_2024!I53+Medici_2025!H53+Medici_2026!H53</f>
        <v>0</v>
      </c>
      <c r="L53" s="84">
        <f>+Medici_2024!J53+Medici_2025!I53+Medici_2026!I53</f>
        <v>0</v>
      </c>
      <c r="M53" s="104"/>
      <c r="N53" s="98"/>
      <c r="O53" s="92"/>
    </row>
    <row r="54" spans="1:15" s="93" customFormat="1" ht="11.25">
      <c r="A54" s="94" t="s">
        <v>163</v>
      </c>
      <c r="B54" s="95" t="s">
        <v>164</v>
      </c>
      <c r="C54" s="233">
        <f>+Medici_2024!E54</f>
        <v>0</v>
      </c>
      <c r="D54" s="234">
        <f>+Medici_2024!F54</f>
        <v>0</v>
      </c>
      <c r="E54" s="234">
        <f>+Medici_2025!E54</f>
        <v>0</v>
      </c>
      <c r="F54" s="234">
        <f>+Medici_2025!F54</f>
        <v>101</v>
      </c>
      <c r="G54" s="234">
        <f>+Medici_2026!E54</f>
        <v>1</v>
      </c>
      <c r="H54" s="100">
        <f>+Medici_2026!F54</f>
        <v>101</v>
      </c>
      <c r="I54" s="299">
        <f>+Medici_2024!G54</f>
        <v>0</v>
      </c>
      <c r="J54" s="300">
        <f>+Medici_2024!H54+Medici_2025!G54+Medici_2026!G54</f>
        <v>2</v>
      </c>
      <c r="K54" s="301">
        <f>+Medici_2024!I54+Medici_2025!H54+Medici_2026!H54</f>
        <v>0</v>
      </c>
      <c r="L54" s="84">
        <f>+Medici_2024!J54+Medici_2025!I54+Medici_2026!I54</f>
        <v>2</v>
      </c>
      <c r="M54" s="104"/>
      <c r="N54" s="98"/>
      <c r="O54" s="92"/>
    </row>
    <row r="55" spans="1:15" s="93" customFormat="1" ht="11.25">
      <c r="A55" s="94" t="s">
        <v>165</v>
      </c>
      <c r="B55" s="95" t="s">
        <v>166</v>
      </c>
      <c r="C55" s="233">
        <f>+Medici_2024!E55</f>
        <v>7</v>
      </c>
      <c r="D55" s="234">
        <f>+Medici_2024!F55</f>
        <v>707</v>
      </c>
      <c r="E55" s="234">
        <f>+Medici_2025!E55</f>
        <v>7</v>
      </c>
      <c r="F55" s="234">
        <f>+Medici_2025!F55</f>
        <v>707</v>
      </c>
      <c r="G55" s="234">
        <f>+Medici_2026!E55</f>
        <v>7</v>
      </c>
      <c r="H55" s="100">
        <f>+Medici_2026!F55</f>
        <v>707</v>
      </c>
      <c r="I55" s="299">
        <f>+Medici_2024!G55</f>
        <v>0</v>
      </c>
      <c r="J55" s="300">
        <f>+Medici_2024!H55+Medici_2025!G55+Medici_2026!G55</f>
        <v>0</v>
      </c>
      <c r="K55" s="301">
        <f>+Medici_2024!I55+Medici_2025!H55+Medici_2026!H55</f>
        <v>0</v>
      </c>
      <c r="L55" s="84">
        <f>+Medici_2024!J55+Medici_2025!I55+Medici_2026!I55</f>
        <v>0</v>
      </c>
      <c r="M55" s="104"/>
      <c r="N55" s="98"/>
      <c r="O55" s="92"/>
    </row>
    <row r="56" spans="1:15" s="93" customFormat="1" ht="11.25">
      <c r="A56" s="94" t="s">
        <v>167</v>
      </c>
      <c r="B56" s="95" t="s">
        <v>168</v>
      </c>
      <c r="C56" s="233">
        <f>+Medici_2024!E56</f>
        <v>4</v>
      </c>
      <c r="D56" s="234">
        <f>+Medici_2024!F56</f>
        <v>404</v>
      </c>
      <c r="E56" s="234">
        <f>+Medici_2025!E56</f>
        <v>4</v>
      </c>
      <c r="F56" s="234">
        <f>+Medici_2025!F56</f>
        <v>404</v>
      </c>
      <c r="G56" s="234">
        <f>+Medici_2026!E56</f>
        <v>5</v>
      </c>
      <c r="H56" s="100">
        <f>+Medici_2026!F56</f>
        <v>505</v>
      </c>
      <c r="I56" s="299">
        <f>+Medici_2024!G56</f>
        <v>0</v>
      </c>
      <c r="J56" s="300">
        <f>+Medici_2024!H56+Medici_2025!G56+Medici_2026!G56</f>
        <v>2</v>
      </c>
      <c r="K56" s="301">
        <f>+Medici_2024!I56+Medici_2025!H56+Medici_2026!H56</f>
        <v>0</v>
      </c>
      <c r="L56" s="84">
        <f>+Medici_2024!J56+Medici_2025!I56+Medici_2026!I56</f>
        <v>2</v>
      </c>
      <c r="M56" s="104"/>
      <c r="N56" s="98"/>
      <c r="O56" s="92"/>
    </row>
    <row r="57" spans="1:15" s="93" customFormat="1" ht="11.25">
      <c r="A57" s="94" t="s">
        <v>169</v>
      </c>
      <c r="B57" s="95" t="s">
        <v>170</v>
      </c>
      <c r="C57" s="233">
        <f>+Medici_2024!E57</f>
        <v>0</v>
      </c>
      <c r="D57" s="234">
        <f>+Medici_2024!F57</f>
        <v>0</v>
      </c>
      <c r="E57" s="234">
        <f>+Medici_2025!E57</f>
        <v>0</v>
      </c>
      <c r="F57" s="234">
        <f>+Medici_2025!F57</f>
        <v>0</v>
      </c>
      <c r="G57" s="234">
        <f>+Medici_2026!E57</f>
        <v>0</v>
      </c>
      <c r="H57" s="100">
        <f>+Medici_2026!F57</f>
        <v>0</v>
      </c>
      <c r="I57" s="299">
        <f>+Medici_2024!G57</f>
        <v>0</v>
      </c>
      <c r="J57" s="300">
        <f>+Medici_2024!H57+Medici_2025!G57+Medici_2026!G57</f>
        <v>0</v>
      </c>
      <c r="K57" s="301">
        <f>+Medici_2024!I57+Medici_2025!H57+Medici_2026!H57</f>
        <v>0</v>
      </c>
      <c r="L57" s="84">
        <f>+Medici_2024!J57+Medici_2025!I57+Medici_2026!I57</f>
        <v>0</v>
      </c>
      <c r="M57" s="104"/>
      <c r="N57" s="98"/>
      <c r="O57" s="92"/>
    </row>
    <row r="58" spans="1:15" s="93" customFormat="1" ht="11.25">
      <c r="A58" s="94" t="s">
        <v>171</v>
      </c>
      <c r="B58" s="95" t="s">
        <v>172</v>
      </c>
      <c r="C58" s="233">
        <f>+Medici_2024!E58</f>
        <v>10</v>
      </c>
      <c r="D58" s="234">
        <f>+Medici_2024!F58</f>
        <v>1010</v>
      </c>
      <c r="E58" s="234">
        <f>+Medici_2025!E58</f>
        <v>10</v>
      </c>
      <c r="F58" s="234">
        <f>+Medici_2025!F58</f>
        <v>1010</v>
      </c>
      <c r="G58" s="234">
        <f>+Medici_2026!E58</f>
        <v>11</v>
      </c>
      <c r="H58" s="100">
        <f>+Medici_2026!F58</f>
        <v>1111</v>
      </c>
      <c r="I58" s="299">
        <f>+Medici_2024!G58</f>
        <v>0</v>
      </c>
      <c r="J58" s="300">
        <f>+Medici_2024!H58+Medici_2025!G58+Medici_2026!G58</f>
        <v>2</v>
      </c>
      <c r="K58" s="301">
        <f>+Medici_2024!I58+Medici_2025!H58+Medici_2026!H58</f>
        <v>0</v>
      </c>
      <c r="L58" s="84">
        <f>+Medici_2024!J58+Medici_2025!I58+Medici_2026!I58</f>
        <v>2</v>
      </c>
      <c r="M58" s="104"/>
      <c r="N58" s="98"/>
      <c r="O58" s="92"/>
    </row>
    <row r="59" spans="1:15" s="93" customFormat="1" ht="11.25">
      <c r="A59" s="94" t="s">
        <v>173</v>
      </c>
      <c r="B59" s="95" t="s">
        <v>174</v>
      </c>
      <c r="C59" s="233">
        <f>+Medici_2024!E59</f>
        <v>5</v>
      </c>
      <c r="D59" s="234">
        <f>+Medici_2024!F59</f>
        <v>505</v>
      </c>
      <c r="E59" s="234">
        <f>+Medici_2025!E59</f>
        <v>5</v>
      </c>
      <c r="F59" s="234">
        <f>+Medici_2025!F59</f>
        <v>505</v>
      </c>
      <c r="G59" s="234">
        <f>+Medici_2026!E59</f>
        <v>9</v>
      </c>
      <c r="H59" s="100">
        <f>+Medici_2026!F59</f>
        <v>909</v>
      </c>
      <c r="I59" s="299">
        <f>+Medici_2024!G59</f>
        <v>0</v>
      </c>
      <c r="J59" s="300">
        <f>+Medici_2024!H59+Medici_2025!G59+Medici_2026!G59</f>
        <v>8</v>
      </c>
      <c r="K59" s="301">
        <f>+Medici_2024!I59+Medici_2025!H59+Medici_2026!H59</f>
        <v>0</v>
      </c>
      <c r="L59" s="84">
        <f>+Medici_2024!J59+Medici_2025!I59+Medici_2026!I59</f>
        <v>8</v>
      </c>
      <c r="M59" s="104"/>
      <c r="N59" s="98"/>
      <c r="O59" s="92"/>
    </row>
    <row r="60" spans="1:15" s="93" customFormat="1" ht="11.25">
      <c r="A60" s="94" t="s">
        <v>175</v>
      </c>
      <c r="B60" s="95" t="s">
        <v>176</v>
      </c>
      <c r="C60" s="233">
        <f>+Medici_2024!E60</f>
        <v>34</v>
      </c>
      <c r="D60" s="234">
        <f>+Medici_2024!F60</f>
        <v>3434</v>
      </c>
      <c r="E60" s="234">
        <f>+Medici_2025!E60</f>
        <v>34</v>
      </c>
      <c r="F60" s="234">
        <f>+Medici_2025!F60</f>
        <v>3434</v>
      </c>
      <c r="G60" s="234">
        <f>+Medici_2026!E60</f>
        <v>43</v>
      </c>
      <c r="H60" s="100">
        <f>+Medici_2026!F60</f>
        <v>4343</v>
      </c>
      <c r="I60" s="299">
        <f>+Medici_2024!G60</f>
        <v>0</v>
      </c>
      <c r="J60" s="300">
        <f>+Medici_2024!H60+Medici_2025!G60+Medici_2026!G60</f>
        <v>18</v>
      </c>
      <c r="K60" s="301">
        <f>+Medici_2024!I60+Medici_2025!H60+Medici_2026!H60</f>
        <v>0</v>
      </c>
      <c r="L60" s="84">
        <f>+Medici_2024!J60+Medici_2025!I60+Medici_2026!I60</f>
        <v>18</v>
      </c>
      <c r="M60" s="104"/>
      <c r="N60" s="98"/>
      <c r="O60" s="92"/>
    </row>
    <row r="61" spans="1:15" s="93" customFormat="1" ht="11.25">
      <c r="A61" s="94" t="s">
        <v>177</v>
      </c>
      <c r="B61" s="95" t="s">
        <v>178</v>
      </c>
      <c r="C61" s="233">
        <f>+Medici_2024!E61</f>
        <v>0</v>
      </c>
      <c r="D61" s="234">
        <f>+Medici_2024!F61</f>
        <v>0</v>
      </c>
      <c r="E61" s="234">
        <f>+Medici_2025!E61</f>
        <v>0</v>
      </c>
      <c r="F61" s="234">
        <f>+Medici_2025!F61</f>
        <v>0</v>
      </c>
      <c r="G61" s="234">
        <f>+Medici_2026!E61</f>
        <v>0</v>
      </c>
      <c r="H61" s="100">
        <f>+Medici_2026!F61</f>
        <v>0</v>
      </c>
      <c r="I61" s="299">
        <f>+Medici_2024!G61</f>
        <v>0</v>
      </c>
      <c r="J61" s="300">
        <f>+Medici_2024!H61+Medici_2025!G61+Medici_2026!G61</f>
        <v>0</v>
      </c>
      <c r="K61" s="301">
        <f>+Medici_2024!I61+Medici_2025!H61+Medici_2026!H61</f>
        <v>0</v>
      </c>
      <c r="L61" s="84">
        <f>+Medici_2024!J61+Medici_2025!I61+Medici_2026!I61</f>
        <v>0</v>
      </c>
      <c r="M61" s="104"/>
      <c r="N61" s="98"/>
      <c r="O61" s="92"/>
    </row>
    <row r="62" spans="1:15" s="93" customFormat="1" ht="11.25">
      <c r="A62" s="94" t="s">
        <v>179</v>
      </c>
      <c r="B62" s="95" t="s">
        <v>180</v>
      </c>
      <c r="C62" s="233">
        <f>+Medici_2024!E62</f>
        <v>0</v>
      </c>
      <c r="D62" s="234">
        <f>+Medici_2024!F62</f>
        <v>0</v>
      </c>
      <c r="E62" s="234">
        <f>+Medici_2025!E62</f>
        <v>0</v>
      </c>
      <c r="F62" s="234">
        <f>+Medici_2025!F62</f>
        <v>0</v>
      </c>
      <c r="G62" s="234">
        <f>+Medici_2026!E62</f>
        <v>0</v>
      </c>
      <c r="H62" s="100">
        <f>+Medici_2026!F62</f>
        <v>0</v>
      </c>
      <c r="I62" s="299">
        <f>+Medici_2024!G62</f>
        <v>0</v>
      </c>
      <c r="J62" s="300">
        <f>+Medici_2024!H62+Medici_2025!G62+Medici_2026!G62</f>
        <v>0</v>
      </c>
      <c r="K62" s="301">
        <f>+Medici_2024!I62+Medici_2025!H62+Medici_2026!H62</f>
        <v>0</v>
      </c>
      <c r="L62" s="84">
        <f>+Medici_2024!J62+Medici_2025!I62+Medici_2026!I62</f>
        <v>0</v>
      </c>
      <c r="M62" s="104"/>
      <c r="N62" s="98"/>
      <c r="O62" s="92"/>
    </row>
    <row r="63" spans="1:15" s="93" customFormat="1" ht="11.25">
      <c r="A63" s="94" t="s">
        <v>181</v>
      </c>
      <c r="B63" s="95" t="s">
        <v>182</v>
      </c>
      <c r="C63" s="233">
        <f>+Medici_2024!E63</f>
        <v>2</v>
      </c>
      <c r="D63" s="234">
        <f>+Medici_2024!F63</f>
        <v>202</v>
      </c>
      <c r="E63" s="234">
        <f>+Medici_2025!E63</f>
        <v>2</v>
      </c>
      <c r="F63" s="234">
        <f>+Medici_2025!F63</f>
        <v>202</v>
      </c>
      <c r="G63" s="234">
        <f>+Medici_2026!E63</f>
        <v>2</v>
      </c>
      <c r="H63" s="100">
        <f>+Medici_2026!F63</f>
        <v>202</v>
      </c>
      <c r="I63" s="299">
        <f>+Medici_2024!G63</f>
        <v>0</v>
      </c>
      <c r="J63" s="300">
        <f>+Medici_2024!H63+Medici_2025!G63+Medici_2026!G63</f>
        <v>0</v>
      </c>
      <c r="K63" s="301">
        <f>+Medici_2024!I63+Medici_2025!H63+Medici_2026!H63</f>
        <v>0</v>
      </c>
      <c r="L63" s="84">
        <f>+Medici_2024!J63+Medici_2025!I63+Medici_2026!I63</f>
        <v>0</v>
      </c>
      <c r="M63" s="104"/>
      <c r="N63" s="98"/>
      <c r="O63" s="92"/>
    </row>
    <row r="64" spans="1:15" s="93" customFormat="1" ht="11.25">
      <c r="A64" s="94" t="s">
        <v>183</v>
      </c>
      <c r="B64" s="95" t="s">
        <v>184</v>
      </c>
      <c r="C64" s="233">
        <f>+Medici_2024!E64</f>
        <v>0</v>
      </c>
      <c r="D64" s="234">
        <f>+Medici_2024!F64</f>
        <v>0</v>
      </c>
      <c r="E64" s="234">
        <f>+Medici_2025!E64</f>
        <v>0</v>
      </c>
      <c r="F64" s="234">
        <f>+Medici_2025!F64</f>
        <v>0</v>
      </c>
      <c r="G64" s="234">
        <f>+Medici_2026!E64</f>
        <v>0</v>
      </c>
      <c r="H64" s="100">
        <f>+Medici_2026!F64</f>
        <v>0</v>
      </c>
      <c r="I64" s="299">
        <f>+Medici_2024!G64</f>
        <v>0</v>
      </c>
      <c r="J64" s="300">
        <f>+Medici_2024!H64+Medici_2025!G64+Medici_2026!G64</f>
        <v>0</v>
      </c>
      <c r="K64" s="301">
        <f>+Medici_2024!I64+Medici_2025!H64+Medici_2026!H64</f>
        <v>0</v>
      </c>
      <c r="L64" s="84">
        <f>+Medici_2024!J64+Medici_2025!I64+Medici_2026!I64</f>
        <v>0</v>
      </c>
      <c r="M64" s="104"/>
      <c r="N64" s="98"/>
      <c r="O64" s="92"/>
    </row>
    <row r="65" spans="1:15" s="93" customFormat="1" ht="33.75">
      <c r="A65" s="94" t="s">
        <v>185</v>
      </c>
      <c r="B65" s="95" t="s">
        <v>186</v>
      </c>
      <c r="C65" s="233">
        <f>+Medici_2024!E65</f>
        <v>0</v>
      </c>
      <c r="D65" s="234">
        <f>+Medici_2024!F65</f>
        <v>0</v>
      </c>
      <c r="E65" s="234">
        <f>+Medici_2025!E65</f>
        <v>0</v>
      </c>
      <c r="F65" s="234">
        <f>+Medici_2025!F65</f>
        <v>0</v>
      </c>
      <c r="G65" s="234">
        <f>+Medici_2026!E65</f>
        <v>0</v>
      </c>
      <c r="H65" s="100">
        <f>+Medici_2026!F65</f>
        <v>0</v>
      </c>
      <c r="I65" s="299">
        <f>+Medici_2024!G65</f>
        <v>0</v>
      </c>
      <c r="J65" s="300">
        <f>+Medici_2024!H65+Medici_2025!G65+Medici_2026!G65</f>
        <v>0</v>
      </c>
      <c r="K65" s="301">
        <f>+Medici_2024!I65+Medici_2025!H65+Medici_2026!H65</f>
        <v>0</v>
      </c>
      <c r="L65" s="84">
        <f>+Medici_2024!J65+Medici_2025!I65+Medici_2026!I65</f>
        <v>0</v>
      </c>
      <c r="M65" s="104"/>
      <c r="N65" s="98"/>
      <c r="O65" s="92"/>
    </row>
    <row r="66" spans="1:15" s="93" customFormat="1" ht="11.25">
      <c r="A66" s="94" t="s">
        <v>187</v>
      </c>
      <c r="B66" s="95" t="s">
        <v>188</v>
      </c>
      <c r="C66" s="233">
        <f>+Medici_2024!E66</f>
        <v>0</v>
      </c>
      <c r="D66" s="234">
        <f>+Medici_2024!F66</f>
        <v>0</v>
      </c>
      <c r="E66" s="234">
        <f>+Medici_2025!E66</f>
        <v>0</v>
      </c>
      <c r="F66" s="234">
        <f>+Medici_2025!F66</f>
        <v>0</v>
      </c>
      <c r="G66" s="234">
        <f>+Medici_2026!E66</f>
        <v>0</v>
      </c>
      <c r="H66" s="100">
        <f>+Medici_2026!F66</f>
        <v>0</v>
      </c>
      <c r="I66" s="299">
        <f>+Medici_2024!G66</f>
        <v>0</v>
      </c>
      <c r="J66" s="300">
        <f>+Medici_2024!H66+Medici_2025!G66+Medici_2026!G66</f>
        <v>0</v>
      </c>
      <c r="K66" s="301">
        <f>+Medici_2024!I66+Medici_2025!H66+Medici_2026!H66</f>
        <v>0</v>
      </c>
      <c r="L66" s="84">
        <f>+Medici_2024!J66+Medici_2025!I66+Medici_2026!I66</f>
        <v>0</v>
      </c>
      <c r="M66" s="104"/>
      <c r="N66" s="98"/>
      <c r="O66" s="92"/>
    </row>
    <row r="67" spans="1:15" s="93" customFormat="1" ht="11.25">
      <c r="A67" s="94" t="s">
        <v>189</v>
      </c>
      <c r="B67" s="95" t="s">
        <v>190</v>
      </c>
      <c r="C67" s="233">
        <f>+Medici_2024!E67</f>
        <v>0</v>
      </c>
      <c r="D67" s="234">
        <f>+Medici_2024!F67</f>
        <v>0</v>
      </c>
      <c r="E67" s="234">
        <f>+Medici_2025!E67</f>
        <v>0</v>
      </c>
      <c r="F67" s="234">
        <f>+Medici_2025!F67</f>
        <v>0</v>
      </c>
      <c r="G67" s="234">
        <f>+Medici_2026!E67</f>
        <v>0</v>
      </c>
      <c r="H67" s="100">
        <f>+Medici_2026!F67</f>
        <v>0</v>
      </c>
      <c r="I67" s="299">
        <f>+Medici_2024!G67</f>
        <v>0</v>
      </c>
      <c r="J67" s="300">
        <f>+Medici_2024!H67+Medici_2025!G67+Medici_2026!G67</f>
        <v>0</v>
      </c>
      <c r="K67" s="301">
        <f>+Medici_2024!I67+Medici_2025!H67+Medici_2026!H67</f>
        <v>0</v>
      </c>
      <c r="L67" s="84">
        <f>+Medici_2024!J67+Medici_2025!I67+Medici_2026!I67</f>
        <v>0</v>
      </c>
      <c r="M67" s="104"/>
      <c r="N67" s="98"/>
      <c r="O67" s="92"/>
    </row>
    <row r="68" spans="1:15" s="93" customFormat="1" ht="11.25">
      <c r="A68" s="94" t="s">
        <v>191</v>
      </c>
      <c r="B68" s="95" t="s">
        <v>192</v>
      </c>
      <c r="C68" s="233">
        <f>+Medici_2024!E68</f>
        <v>0</v>
      </c>
      <c r="D68" s="234">
        <f>+Medici_2024!F68</f>
        <v>0</v>
      </c>
      <c r="E68" s="234">
        <f>+Medici_2025!E68</f>
        <v>0</v>
      </c>
      <c r="F68" s="234">
        <f>+Medici_2025!F68</f>
        <v>0</v>
      </c>
      <c r="G68" s="234">
        <f>+Medici_2026!E68</f>
        <v>0</v>
      </c>
      <c r="H68" s="100">
        <f>+Medici_2026!F68</f>
        <v>0</v>
      </c>
      <c r="I68" s="299">
        <f>+Medici_2024!G68</f>
        <v>0</v>
      </c>
      <c r="J68" s="300">
        <f>+Medici_2024!H68+Medici_2025!G68+Medici_2026!G68</f>
        <v>0</v>
      </c>
      <c r="K68" s="301">
        <f>+Medici_2024!I68+Medici_2025!H68+Medici_2026!H68</f>
        <v>0</v>
      </c>
      <c r="L68" s="84">
        <f>+Medici_2024!J68+Medici_2025!I68+Medici_2026!I68</f>
        <v>0</v>
      </c>
      <c r="M68" s="104"/>
      <c r="N68" s="98"/>
      <c r="O68" s="92"/>
    </row>
    <row r="69" spans="1:15" s="93" customFormat="1" ht="11.25">
      <c r="A69" s="94" t="s">
        <v>193</v>
      </c>
      <c r="B69" s="95" t="s">
        <v>194</v>
      </c>
      <c r="C69" s="233">
        <f>+Medici_2024!E69</f>
        <v>0</v>
      </c>
      <c r="D69" s="234">
        <f>+Medici_2024!F69</f>
        <v>0</v>
      </c>
      <c r="E69" s="234">
        <f>+Medici_2025!E69</f>
        <v>0</v>
      </c>
      <c r="F69" s="234">
        <f>+Medici_2025!F69</f>
        <v>0</v>
      </c>
      <c r="G69" s="234">
        <f>+Medici_2026!E69</f>
        <v>0</v>
      </c>
      <c r="H69" s="100">
        <f>+Medici_2026!F69</f>
        <v>0</v>
      </c>
      <c r="I69" s="299">
        <f>+Medici_2024!G69</f>
        <v>0</v>
      </c>
      <c r="J69" s="300">
        <f>+Medici_2024!H69+Medici_2025!G69+Medici_2026!G69</f>
        <v>0</v>
      </c>
      <c r="K69" s="301">
        <f>+Medici_2024!I69+Medici_2025!H69+Medici_2026!H69</f>
        <v>0</v>
      </c>
      <c r="L69" s="84">
        <f>+Medici_2024!J69+Medici_2025!I69+Medici_2026!I69</f>
        <v>0</v>
      </c>
      <c r="M69" s="104"/>
      <c r="N69" s="98"/>
      <c r="O69" s="92"/>
    </row>
    <row r="70" spans="1:15" s="93" customFormat="1" ht="11.25">
      <c r="A70" s="94" t="s">
        <v>195</v>
      </c>
      <c r="B70" s="95" t="s">
        <v>196</v>
      </c>
      <c r="C70" s="233">
        <f>+Medici_2024!E70</f>
        <v>0</v>
      </c>
      <c r="D70" s="234">
        <f>+Medici_2024!F70</f>
        <v>0</v>
      </c>
      <c r="E70" s="234">
        <f>+Medici_2025!E70</f>
        <v>0</v>
      </c>
      <c r="F70" s="234">
        <f>+Medici_2025!F70</f>
        <v>0</v>
      </c>
      <c r="G70" s="234">
        <f>+Medici_2026!E70</f>
        <v>0</v>
      </c>
      <c r="H70" s="100">
        <f>+Medici_2026!F70</f>
        <v>0</v>
      </c>
      <c r="I70" s="299">
        <f>+Medici_2024!G70</f>
        <v>0</v>
      </c>
      <c r="J70" s="300">
        <f>+Medici_2024!H70+Medici_2025!G70+Medici_2026!G70</f>
        <v>0</v>
      </c>
      <c r="K70" s="301">
        <f>+Medici_2024!I70+Medici_2025!H70+Medici_2026!H70</f>
        <v>0</v>
      </c>
      <c r="L70" s="84">
        <f>+Medici_2024!J70+Medici_2025!I70+Medici_2026!I70</f>
        <v>0</v>
      </c>
      <c r="M70" s="104"/>
      <c r="N70" s="98"/>
      <c r="O70" s="92"/>
    </row>
    <row r="71" spans="1:15" s="93" customFormat="1" ht="11.25">
      <c r="A71" s="94" t="s">
        <v>197</v>
      </c>
      <c r="B71" s="95" t="s">
        <v>198</v>
      </c>
      <c r="C71" s="233">
        <f>+Medici_2024!E71</f>
        <v>0</v>
      </c>
      <c r="D71" s="234">
        <f>+Medici_2024!F71</f>
        <v>0</v>
      </c>
      <c r="E71" s="234">
        <f>+Medici_2025!E71</f>
        <v>0</v>
      </c>
      <c r="F71" s="234">
        <f>+Medici_2025!F71</f>
        <v>0</v>
      </c>
      <c r="G71" s="234">
        <f>+Medici_2026!E71</f>
        <v>0</v>
      </c>
      <c r="H71" s="100">
        <f>+Medici_2026!F71</f>
        <v>0</v>
      </c>
      <c r="I71" s="299">
        <f>+Medici_2024!G71</f>
        <v>0</v>
      </c>
      <c r="J71" s="300">
        <f>+Medici_2024!H71+Medici_2025!G71+Medici_2026!G71</f>
        <v>0</v>
      </c>
      <c r="K71" s="301">
        <f>+Medici_2024!I71+Medici_2025!H71+Medici_2026!H71</f>
        <v>0</v>
      </c>
      <c r="L71" s="84">
        <f>+Medici_2024!J71+Medici_2025!I71+Medici_2026!I71</f>
        <v>0</v>
      </c>
      <c r="M71" s="104"/>
      <c r="N71" s="98"/>
      <c r="O71" s="92"/>
    </row>
    <row r="72" spans="1:15" s="93" customFormat="1" ht="11.25">
      <c r="A72" s="94" t="s">
        <v>199</v>
      </c>
      <c r="B72" s="95" t="s">
        <v>200</v>
      </c>
      <c r="C72" s="233">
        <f>+Medici_2024!E72</f>
        <v>0</v>
      </c>
      <c r="D72" s="234">
        <f>+Medici_2024!F72</f>
        <v>0</v>
      </c>
      <c r="E72" s="234">
        <f>+Medici_2025!E72</f>
        <v>0</v>
      </c>
      <c r="F72" s="234">
        <f>+Medici_2025!F72</f>
        <v>0</v>
      </c>
      <c r="G72" s="234">
        <f>+Medici_2026!E72</f>
        <v>0</v>
      </c>
      <c r="H72" s="100">
        <f>+Medici_2026!F72</f>
        <v>0</v>
      </c>
      <c r="I72" s="299">
        <f>+Medici_2024!G72</f>
        <v>0</v>
      </c>
      <c r="J72" s="300">
        <f>+Medici_2024!H72+Medici_2025!G72+Medici_2026!G72</f>
        <v>0</v>
      </c>
      <c r="K72" s="301">
        <f>+Medici_2024!I72+Medici_2025!H72+Medici_2026!H72</f>
        <v>0</v>
      </c>
      <c r="L72" s="84">
        <f>+Medici_2024!J72+Medici_2025!I72+Medici_2026!I72</f>
        <v>0</v>
      </c>
      <c r="M72" s="104"/>
      <c r="N72" s="98"/>
      <c r="O72" s="92"/>
    </row>
    <row r="73" spans="1:15" s="93" customFormat="1" ht="11.25">
      <c r="A73" s="94" t="s">
        <v>201</v>
      </c>
      <c r="B73" s="95" t="s">
        <v>202</v>
      </c>
      <c r="C73" s="233">
        <f>+Medici_2024!E73</f>
        <v>0</v>
      </c>
      <c r="D73" s="234">
        <f>+Medici_2024!F73</f>
        <v>0</v>
      </c>
      <c r="E73" s="234">
        <f>+Medici_2025!E73</f>
        <v>0</v>
      </c>
      <c r="F73" s="234">
        <f>+Medici_2025!F73</f>
        <v>0</v>
      </c>
      <c r="G73" s="234">
        <f>+Medici_2026!E73</f>
        <v>0</v>
      </c>
      <c r="H73" s="100">
        <f>+Medici_2026!F73</f>
        <v>0</v>
      </c>
      <c r="I73" s="299">
        <f>+Medici_2024!G73</f>
        <v>0</v>
      </c>
      <c r="J73" s="300">
        <f>+Medici_2024!H73+Medici_2025!G73+Medici_2026!G73</f>
        <v>0</v>
      </c>
      <c r="K73" s="301">
        <f>+Medici_2024!I73+Medici_2025!H73+Medici_2026!H73</f>
        <v>0</v>
      </c>
      <c r="L73" s="84">
        <f>+Medici_2024!J73+Medici_2025!I73+Medici_2026!I73</f>
        <v>0</v>
      </c>
      <c r="M73" s="104"/>
      <c r="N73" s="98"/>
      <c r="O73" s="92"/>
    </row>
    <row r="74" spans="1:15" s="93" customFormat="1" ht="11.25">
      <c r="A74" s="94" t="s">
        <v>203</v>
      </c>
      <c r="B74" s="95" t="s">
        <v>204</v>
      </c>
      <c r="C74" s="233">
        <f>+Medici_2024!E74</f>
        <v>0</v>
      </c>
      <c r="D74" s="234">
        <f>+Medici_2024!F74</f>
        <v>0</v>
      </c>
      <c r="E74" s="234">
        <f>+Medici_2025!E74</f>
        <v>0</v>
      </c>
      <c r="F74" s="234">
        <f>+Medici_2025!F74</f>
        <v>0</v>
      </c>
      <c r="G74" s="234">
        <f>+Medici_2026!E74</f>
        <v>0</v>
      </c>
      <c r="H74" s="100">
        <f>+Medici_2026!F74</f>
        <v>0</v>
      </c>
      <c r="I74" s="299">
        <f>+Medici_2024!G74</f>
        <v>0</v>
      </c>
      <c r="J74" s="300">
        <f>+Medici_2024!H74+Medici_2025!G74+Medici_2026!G74</f>
        <v>0</v>
      </c>
      <c r="K74" s="301">
        <f>+Medici_2024!I74+Medici_2025!H74+Medici_2026!H74</f>
        <v>0</v>
      </c>
      <c r="L74" s="84">
        <f>+Medici_2024!J74+Medici_2025!I74+Medici_2026!I74</f>
        <v>0</v>
      </c>
      <c r="M74" s="104"/>
      <c r="N74" s="98"/>
      <c r="O74" s="92"/>
    </row>
    <row r="75" spans="1:15" s="93" customFormat="1" ht="11.25">
      <c r="A75" s="94" t="s">
        <v>205</v>
      </c>
      <c r="B75" s="95" t="s">
        <v>206</v>
      </c>
      <c r="C75" s="233">
        <f>+Medici_2024!E75</f>
        <v>17</v>
      </c>
      <c r="D75" s="234">
        <f>+Medici_2024!F75</f>
        <v>1717</v>
      </c>
      <c r="E75" s="234">
        <f>+Medici_2025!E75</f>
        <v>17</v>
      </c>
      <c r="F75" s="234">
        <f>+Medici_2025!F75</f>
        <v>1717</v>
      </c>
      <c r="G75" s="234">
        <f>+Medici_2026!E75</f>
        <v>21</v>
      </c>
      <c r="H75" s="100">
        <f>+Medici_2026!F75</f>
        <v>2121</v>
      </c>
      <c r="I75" s="299">
        <f>+Medici_2024!G75</f>
        <v>0</v>
      </c>
      <c r="J75" s="300">
        <f>+Medici_2024!H75+Medici_2025!G75+Medici_2026!G75</f>
        <v>8</v>
      </c>
      <c r="K75" s="301">
        <f>+Medici_2024!I75+Medici_2025!H75+Medici_2026!H75</f>
        <v>0</v>
      </c>
      <c r="L75" s="84">
        <f>+Medici_2024!J75+Medici_2025!I75+Medici_2026!I75</f>
        <v>8</v>
      </c>
      <c r="M75" s="104"/>
      <c r="N75" s="98"/>
      <c r="O75" s="92"/>
    </row>
    <row r="76" spans="1:15" s="93" customFormat="1" ht="11.25">
      <c r="A76" s="94" t="s">
        <v>207</v>
      </c>
      <c r="B76" s="95" t="s">
        <v>208</v>
      </c>
      <c r="C76" s="233">
        <f>+Medici_2024!E76</f>
        <v>0</v>
      </c>
      <c r="D76" s="234">
        <f>+Medici_2024!F76</f>
        <v>0</v>
      </c>
      <c r="E76" s="234">
        <f>+Medici_2025!E76</f>
        <v>0</v>
      </c>
      <c r="F76" s="234">
        <f>+Medici_2025!F76</f>
        <v>0</v>
      </c>
      <c r="G76" s="234">
        <f>+Medici_2026!E76</f>
        <v>0</v>
      </c>
      <c r="H76" s="100">
        <f>+Medici_2026!F76</f>
        <v>0</v>
      </c>
      <c r="I76" s="299">
        <f>+Medici_2024!G76</f>
        <v>0</v>
      </c>
      <c r="J76" s="300">
        <f>+Medici_2024!H76+Medici_2025!G76+Medici_2026!G76</f>
        <v>0</v>
      </c>
      <c r="K76" s="301">
        <f>+Medici_2024!I76+Medici_2025!H76+Medici_2026!H76</f>
        <v>0</v>
      </c>
      <c r="L76" s="84">
        <f>+Medici_2024!J76+Medici_2025!I76+Medici_2026!I76</f>
        <v>0</v>
      </c>
      <c r="M76" s="104"/>
      <c r="N76" s="98"/>
      <c r="O76" s="92"/>
    </row>
    <row r="77" spans="1:15" s="93" customFormat="1" ht="11.25">
      <c r="A77" s="94" t="s">
        <v>209</v>
      </c>
      <c r="B77" s="95" t="s">
        <v>210</v>
      </c>
      <c r="C77" s="233">
        <f>+Medici_2024!E77</f>
        <v>0</v>
      </c>
      <c r="D77" s="234">
        <f>+Medici_2024!F77</f>
        <v>0</v>
      </c>
      <c r="E77" s="234">
        <f>+Medici_2025!E77</f>
        <v>0</v>
      </c>
      <c r="F77" s="234">
        <f>+Medici_2025!F77</f>
        <v>0</v>
      </c>
      <c r="G77" s="234">
        <f>+Medici_2026!E77</f>
        <v>0</v>
      </c>
      <c r="H77" s="100">
        <f>+Medici_2026!F77</f>
        <v>0</v>
      </c>
      <c r="I77" s="299">
        <f>+Medici_2024!G77</f>
        <v>0</v>
      </c>
      <c r="J77" s="300">
        <f>+Medici_2024!H77+Medici_2025!G77+Medici_2026!G77</f>
        <v>0</v>
      </c>
      <c r="K77" s="301">
        <f>+Medici_2024!I77+Medici_2025!H77+Medici_2026!H77</f>
        <v>0</v>
      </c>
      <c r="L77" s="84">
        <f>+Medici_2024!J77+Medici_2025!I77+Medici_2026!I77</f>
        <v>0</v>
      </c>
      <c r="M77" s="104"/>
      <c r="N77" s="98"/>
      <c r="O77" s="92"/>
    </row>
    <row r="78" spans="1:15">
      <c r="A78" s="94" t="s">
        <v>211</v>
      </c>
      <c r="B78" s="95" t="s">
        <v>212</v>
      </c>
      <c r="C78" s="233">
        <f>+Medici_2024!E78</f>
        <v>3</v>
      </c>
      <c r="D78" s="234">
        <f>+Medici_2024!F78</f>
        <v>303</v>
      </c>
      <c r="E78" s="234">
        <f>+Medici_2025!E78</f>
        <v>3</v>
      </c>
      <c r="F78" s="234">
        <f>+Medici_2025!F78</f>
        <v>303</v>
      </c>
      <c r="G78" s="234">
        <f>+Medici_2026!E78</f>
        <v>4</v>
      </c>
      <c r="H78" s="100">
        <f>+Medici_2026!F78</f>
        <v>404</v>
      </c>
      <c r="I78" s="299">
        <f>+Medici_2024!G78</f>
        <v>0</v>
      </c>
      <c r="J78" s="300">
        <f>+Medici_2024!H78+Medici_2025!G78+Medici_2026!G78</f>
        <v>2</v>
      </c>
      <c r="K78" s="301">
        <f>+Medici_2024!I78+Medici_2025!H78+Medici_2026!H78</f>
        <v>0</v>
      </c>
      <c r="L78" s="84">
        <f>+Medici_2024!J78+Medici_2025!I78+Medici_2026!I78</f>
        <v>2</v>
      </c>
      <c r="M78" s="104"/>
      <c r="N78" s="98"/>
    </row>
    <row r="79" spans="1:15">
      <c r="A79" s="105" t="s">
        <v>213</v>
      </c>
      <c r="B79" s="106" t="s">
        <v>214</v>
      </c>
      <c r="C79" s="236">
        <f>+Medici_2024!E79</f>
        <v>0</v>
      </c>
      <c r="D79" s="237">
        <f>+Medici_2024!F79</f>
        <v>0</v>
      </c>
      <c r="E79" s="237">
        <f>+Medici_2025!E79</f>
        <v>0</v>
      </c>
      <c r="F79" s="237">
        <f>+Medici_2025!F79</f>
        <v>0</v>
      </c>
      <c r="G79" s="237">
        <f>+Medici_2026!E79</f>
        <v>0</v>
      </c>
      <c r="H79" s="112">
        <f>+Medici_2026!F79</f>
        <v>0</v>
      </c>
      <c r="I79" s="302">
        <f>+Medici_2024!G79</f>
        <v>0</v>
      </c>
      <c r="J79" s="303">
        <f>+Medici_2024!H79+Medici_2025!G79+Medici_2026!G79</f>
        <v>0</v>
      </c>
      <c r="K79" s="304">
        <f>+Medici_2024!I79+Medici_2025!H79+Medici_2026!H79</f>
        <v>0</v>
      </c>
      <c r="L79" s="109">
        <f>+Medici_2024!J79+Medici_2025!I79+Medici_2026!I79</f>
        <v>0</v>
      </c>
      <c r="M79" s="305"/>
      <c r="N79" s="110"/>
    </row>
    <row r="80" spans="1:15">
      <c r="A80" s="306"/>
      <c r="B80" s="307"/>
      <c r="C80" s="104"/>
      <c r="D80" s="104"/>
      <c r="E80" s="104"/>
      <c r="F80" s="104"/>
      <c r="G80" s="104"/>
      <c r="H80" s="104"/>
      <c r="I80" s="104"/>
      <c r="J80" s="104"/>
      <c r="K80" s="104"/>
      <c r="L80" s="104"/>
      <c r="M80" s="104"/>
      <c r="N80" s="92"/>
    </row>
    <row r="81" spans="1:15" ht="45.6" customHeight="1">
      <c r="A81" s="390" t="s">
        <v>215</v>
      </c>
      <c r="B81" s="390"/>
      <c r="C81" s="390"/>
      <c r="D81" s="390"/>
      <c r="E81" s="390"/>
      <c r="F81" s="390"/>
      <c r="G81" s="390"/>
      <c r="H81" s="390"/>
      <c r="I81" s="390"/>
      <c r="J81" s="390"/>
      <c r="K81" s="390"/>
      <c r="L81" s="390"/>
      <c r="M81" s="390"/>
      <c r="N81" s="390"/>
    </row>
    <row r="82" spans="1:15" s="117" customFormat="1" ht="22.15" customHeight="1">
      <c r="A82" s="119"/>
      <c r="B82" s="119"/>
      <c r="C82" s="119"/>
      <c r="D82" s="119">
        <v>2022</v>
      </c>
      <c r="E82" s="119"/>
      <c r="F82" s="119">
        <v>2022</v>
      </c>
      <c r="G82" s="119"/>
      <c r="H82" s="119">
        <v>2024</v>
      </c>
      <c r="I82" s="104"/>
      <c r="J82" s="104"/>
      <c r="K82" s="104"/>
      <c r="L82" s="104"/>
      <c r="M82" s="104"/>
      <c r="N82" s="92"/>
      <c r="O82" s="27"/>
    </row>
    <row r="83" spans="1:15" s="117" customFormat="1" ht="21" customHeight="1">
      <c r="A83" s="386" t="s">
        <v>216</v>
      </c>
      <c r="B83" s="386"/>
      <c r="C83" s="386"/>
      <c r="D83" s="120">
        <f>+Medici_2024!F83</f>
        <v>155505</v>
      </c>
      <c r="E83" s="308"/>
      <c r="F83" s="120">
        <f>+Medici_2025!F83</f>
        <v>166956</v>
      </c>
      <c r="G83" s="308"/>
      <c r="H83" s="120">
        <f>+Medici_2026!F83</f>
        <v>179062</v>
      </c>
      <c r="I83" s="92"/>
      <c r="J83" s="92"/>
      <c r="K83" s="92"/>
      <c r="L83" s="92"/>
      <c r="M83" s="92"/>
      <c r="N83" s="92"/>
      <c r="O83" s="27"/>
    </row>
    <row r="84" spans="1:15">
      <c r="A84" s="121"/>
      <c r="B84" s="122"/>
      <c r="C84" s="92"/>
      <c r="D84" s="309"/>
      <c r="E84" s="309"/>
      <c r="F84" s="309"/>
      <c r="G84" s="309"/>
      <c r="H84" s="309"/>
      <c r="I84" s="92"/>
      <c r="J84" s="92"/>
      <c r="K84" s="92"/>
      <c r="L84" s="92"/>
      <c r="M84" s="92"/>
      <c r="N84" s="92"/>
    </row>
    <row r="85" spans="1:15" s="25" customFormat="1" ht="21" customHeight="1">
      <c r="A85" s="365" t="s">
        <v>217</v>
      </c>
      <c r="B85" s="365"/>
      <c r="C85" s="365"/>
      <c r="D85" s="310">
        <f>+Medici_2024!F85</f>
        <v>9374.0654574132495</v>
      </c>
      <c r="E85" s="311"/>
      <c r="F85" s="310">
        <f>+Medici_2025!F85</f>
        <v>10329.645110410094</v>
      </c>
      <c r="G85" s="311"/>
      <c r="H85" s="310">
        <f>+Medici_2026!F85</f>
        <v>12004</v>
      </c>
      <c r="I85" s="123"/>
      <c r="J85" s="127"/>
      <c r="K85" s="366" t="s">
        <v>426</v>
      </c>
      <c r="L85" s="123"/>
      <c r="M85" s="123"/>
      <c r="N85" s="123"/>
    </row>
    <row r="86" spans="1:15" s="25" customFormat="1" ht="21" customHeight="1">
      <c r="A86" s="365" t="s">
        <v>220</v>
      </c>
      <c r="B86" s="365"/>
      <c r="C86" s="365"/>
      <c r="D86" s="310">
        <f>+Medici_2024!F86</f>
        <v>296</v>
      </c>
      <c r="E86" s="311"/>
      <c r="F86" s="310">
        <f>+Medici_2025!F86</f>
        <v>314.5</v>
      </c>
      <c r="G86" s="311"/>
      <c r="H86" s="310">
        <f>+Medici_2026!F86</f>
        <v>370</v>
      </c>
      <c r="I86" s="123"/>
      <c r="J86" s="127"/>
      <c r="K86" s="366"/>
      <c r="L86" s="123"/>
      <c r="M86" s="123"/>
      <c r="N86" s="123"/>
    </row>
    <row r="87" spans="1:15" s="25" customFormat="1" ht="21" customHeight="1">
      <c r="A87" s="385" t="s">
        <v>221</v>
      </c>
      <c r="B87" s="385"/>
      <c r="C87" s="385"/>
      <c r="D87" s="310">
        <f>+Medici_2024!F87</f>
        <v>2947.2000000000003</v>
      </c>
      <c r="E87" s="311"/>
      <c r="F87" s="310">
        <f>+Medici_2025!F87</f>
        <v>3131.4</v>
      </c>
      <c r="G87" s="311"/>
      <c r="H87" s="310">
        <f>+Medici_2026!F87</f>
        <v>3684</v>
      </c>
      <c r="I87" s="123"/>
      <c r="J87" s="127"/>
      <c r="K87" s="366"/>
      <c r="L87" s="123"/>
      <c r="M87" s="123"/>
      <c r="N87" s="123"/>
    </row>
    <row r="88" spans="1:15" s="25" customFormat="1" ht="21" customHeight="1">
      <c r="A88" s="367" t="s">
        <v>223</v>
      </c>
      <c r="B88" s="367"/>
      <c r="C88" s="367"/>
      <c r="D88" s="310">
        <f>+Medici_2024!F88</f>
        <v>0</v>
      </c>
      <c r="E88" s="311"/>
      <c r="F88" s="310">
        <f>+Medici_2025!F88</f>
        <v>0</v>
      </c>
      <c r="G88" s="311"/>
      <c r="H88" s="310">
        <f>+Medici_2026!F88</f>
        <v>0</v>
      </c>
      <c r="I88" s="123"/>
      <c r="J88" s="127"/>
      <c r="K88" s="366"/>
      <c r="L88" s="123"/>
      <c r="M88" s="123"/>
      <c r="N88" s="123"/>
    </row>
    <row r="89" spans="1:15" s="25" customFormat="1" ht="21" customHeight="1">
      <c r="A89" s="367" t="s">
        <v>224</v>
      </c>
      <c r="B89" s="367"/>
      <c r="C89" s="367"/>
      <c r="D89" s="310">
        <f>+Medici_2024!F89</f>
        <v>0</v>
      </c>
      <c r="E89" s="311"/>
      <c r="F89" s="310">
        <f>+Medici_2025!F89</f>
        <v>0</v>
      </c>
      <c r="G89" s="311"/>
      <c r="H89" s="310">
        <f>+Medici_2026!F89</f>
        <v>0</v>
      </c>
      <c r="I89" s="123"/>
      <c r="J89" s="127"/>
      <c r="K89" s="366"/>
      <c r="L89" s="123"/>
      <c r="M89" s="123"/>
      <c r="N89" s="123"/>
    </row>
    <row r="90" spans="1:15" s="25" customFormat="1" ht="21" customHeight="1">
      <c r="A90" s="367" t="s">
        <v>225</v>
      </c>
      <c r="B90" s="367"/>
      <c r="C90" s="367"/>
      <c r="D90" s="310">
        <f>+Medici_2024!F90</f>
        <v>23361.600000000002</v>
      </c>
      <c r="E90" s="311"/>
      <c r="F90" s="310">
        <f>+Medici_2025!F90</f>
        <v>27131.4</v>
      </c>
      <c r="G90" s="311"/>
      <c r="H90" s="310">
        <f>+Medici_2026!F90</f>
        <v>30702</v>
      </c>
      <c r="I90" s="123"/>
      <c r="J90" s="127"/>
      <c r="K90" s="366"/>
      <c r="L90" s="123"/>
      <c r="M90" s="123"/>
      <c r="N90" s="123"/>
    </row>
    <row r="91" spans="1:15" s="25" customFormat="1" ht="11.25">
      <c r="A91" s="123"/>
      <c r="B91" s="123"/>
      <c r="C91" s="123"/>
      <c r="D91" s="311"/>
      <c r="E91" s="311"/>
      <c r="F91" s="311"/>
      <c r="G91" s="311"/>
      <c r="H91" s="311"/>
      <c r="I91" s="123"/>
      <c r="J91" s="127"/>
      <c r="K91" s="366"/>
      <c r="L91" s="123"/>
      <c r="M91" s="123"/>
      <c r="N91" s="123"/>
    </row>
    <row r="92" spans="1:15" s="25" customFormat="1" ht="21" customHeight="1">
      <c r="A92" s="361" t="s">
        <v>226</v>
      </c>
      <c r="B92" s="361"/>
      <c r="C92" s="361"/>
      <c r="D92" s="312">
        <f>+Medici_2024!F92</f>
        <v>138866.26545741325</v>
      </c>
      <c r="E92" s="311"/>
      <c r="F92" s="312">
        <f>+Medici_2025!F92</f>
        <v>147337.3451104101</v>
      </c>
      <c r="G92" s="311"/>
      <c r="H92" s="312">
        <f>+Medici_2026!F92</f>
        <v>157050</v>
      </c>
      <c r="I92" s="387"/>
      <c r="J92" s="387"/>
      <c r="K92" s="366"/>
      <c r="L92" s="123"/>
      <c r="M92" s="123"/>
      <c r="N92" s="123"/>
    </row>
    <row r="93" spans="1:15" s="25" customFormat="1" ht="21" customHeight="1">
      <c r="A93" s="132"/>
      <c r="B93" s="132"/>
      <c r="C93" s="132"/>
      <c r="D93" s="313"/>
      <c r="E93" s="311"/>
      <c r="F93" s="313"/>
      <c r="G93" s="311"/>
      <c r="H93" s="313"/>
      <c r="I93" s="123"/>
      <c r="J93" s="123"/>
      <c r="K93" s="366"/>
      <c r="L93" s="123"/>
      <c r="M93" s="123"/>
      <c r="N93" s="123"/>
    </row>
    <row r="94" spans="1:15" s="25" customFormat="1" ht="21" customHeight="1">
      <c r="A94" s="361" t="s">
        <v>427</v>
      </c>
      <c r="B94" s="361"/>
      <c r="C94" s="361"/>
      <c r="D94" s="135">
        <f>+Medici_2024!F94</f>
        <v>18284.734542586753</v>
      </c>
      <c r="E94" s="314"/>
      <c r="F94" s="135">
        <f>+Medici_2025!F94</f>
        <v>9813.6548895899032</v>
      </c>
      <c r="G94" s="314"/>
      <c r="H94" s="135">
        <f>+Medici_2026!F94</f>
        <v>101</v>
      </c>
      <c r="I94" s="123"/>
      <c r="J94" s="123"/>
      <c r="K94" s="315">
        <v>157151</v>
      </c>
      <c r="L94" s="123"/>
      <c r="M94" s="123"/>
      <c r="N94" s="123"/>
    </row>
    <row r="95" spans="1:15">
      <c r="A95" s="123"/>
      <c r="B95" s="123"/>
      <c r="C95" s="123"/>
      <c r="D95" s="123"/>
      <c r="E95" s="123"/>
      <c r="F95" s="123"/>
      <c r="G95" s="123"/>
      <c r="H95" s="123"/>
      <c r="I95" s="123"/>
      <c r="J95" s="136"/>
      <c r="K95" s="123"/>
      <c r="L95" s="123"/>
      <c r="M95" s="123"/>
      <c r="N95" s="123"/>
    </row>
    <row r="96" spans="1:15" ht="45.6" customHeight="1">
      <c r="A96" s="384" t="s">
        <v>229</v>
      </c>
      <c r="B96" s="384"/>
      <c r="C96" s="384"/>
      <c r="D96" s="384"/>
      <c r="E96" s="384"/>
      <c r="F96" s="384"/>
      <c r="G96" s="384"/>
      <c r="H96" s="384"/>
      <c r="I96" s="384"/>
      <c r="J96" s="384"/>
      <c r="K96" s="384"/>
      <c r="L96" s="384"/>
      <c r="M96" s="384"/>
      <c r="N96" s="384"/>
    </row>
    <row r="97" spans="1:14">
      <c r="A97" s="137"/>
      <c r="B97" s="137"/>
      <c r="C97" s="137"/>
      <c r="D97" s="137"/>
      <c r="E97" s="137"/>
      <c r="F97" s="137"/>
      <c r="G97" s="137"/>
      <c r="H97" s="137"/>
      <c r="I97" s="123"/>
      <c r="J97" s="136"/>
      <c r="K97" s="123"/>
      <c r="L97" s="123"/>
      <c r="M97" s="123"/>
      <c r="N97" s="123"/>
    </row>
    <row r="98" spans="1:14" ht="21" customHeight="1">
      <c r="A98" s="381" t="s">
        <v>230</v>
      </c>
      <c r="B98" s="381"/>
      <c r="C98" s="381"/>
      <c r="D98" s="316" t="e">
        <f>+Medici_2024!#REF!</f>
        <v>#REF!</v>
      </c>
      <c r="E98" s="123"/>
      <c r="F98" s="316" t="e">
        <f>+Medici_2025!#REF!</f>
        <v>#REF!</v>
      </c>
      <c r="G98" s="317"/>
      <c r="H98" s="316">
        <f>+Medici_2026!F98</f>
        <v>0</v>
      </c>
      <c r="I98" s="382" t="s">
        <v>231</v>
      </c>
      <c r="J98" s="382"/>
      <c r="K98" s="123"/>
      <c r="L98" s="123"/>
      <c r="M98" s="123"/>
      <c r="N98" s="123"/>
    </row>
    <row r="99" spans="1:14" ht="21" customHeight="1">
      <c r="A99" s="381" t="s">
        <v>232</v>
      </c>
      <c r="B99" s="381"/>
      <c r="C99" s="381"/>
      <c r="D99" s="139"/>
      <c r="E99" s="123"/>
      <c r="F99" s="139"/>
      <c r="G99" s="318"/>
      <c r="H99" s="139"/>
      <c r="I99" s="382"/>
      <c r="J99" s="382"/>
      <c r="K99" s="123"/>
      <c r="L99" s="123"/>
      <c r="M99" s="123"/>
      <c r="N99" s="123"/>
    </row>
    <row r="100" spans="1:14" s="25" customFormat="1" ht="21" customHeight="1">
      <c r="A100" s="381" t="s">
        <v>233</v>
      </c>
      <c r="B100" s="381"/>
      <c r="C100" s="381"/>
      <c r="D100" s="139"/>
      <c r="E100" s="123"/>
      <c r="F100" s="139"/>
      <c r="G100" s="318"/>
      <c r="H100" s="139"/>
      <c r="I100" s="382"/>
      <c r="J100" s="382"/>
      <c r="K100" s="123"/>
      <c r="L100" s="123"/>
      <c r="M100" s="123"/>
      <c r="N100" s="123"/>
    </row>
    <row r="101" spans="1:14" s="25" customFormat="1" ht="21" customHeight="1">
      <c r="A101" s="365" t="s">
        <v>217</v>
      </c>
      <c r="B101" s="365"/>
      <c r="C101" s="365"/>
      <c r="D101" s="319" t="e">
        <f>+Medici_2024!#REF!</f>
        <v>#REF!</v>
      </c>
      <c r="E101" s="123"/>
      <c r="F101" s="319" t="e">
        <f>+Medici_2025!#REF!</f>
        <v>#REF!</v>
      </c>
      <c r="G101" s="317"/>
      <c r="H101" s="319">
        <f>+Medici_2026!F101</f>
        <v>0</v>
      </c>
      <c r="I101" s="382"/>
      <c r="J101" s="382"/>
      <c r="K101" s="123"/>
      <c r="L101" s="123"/>
      <c r="M101" s="123"/>
      <c r="N101" s="123"/>
    </row>
    <row r="102" spans="1:14" s="25" customFormat="1" ht="21" customHeight="1">
      <c r="A102" s="365" t="s">
        <v>220</v>
      </c>
      <c r="B102" s="365"/>
      <c r="C102" s="365"/>
      <c r="D102" s="319" t="e">
        <f>+Medici_2024!#REF!</f>
        <v>#REF!</v>
      </c>
      <c r="E102" s="123"/>
      <c r="F102" s="319" t="e">
        <f>+Medici_2025!#REF!</f>
        <v>#REF!</v>
      </c>
      <c r="G102" s="317"/>
      <c r="H102" s="319">
        <f>+Medici_2026!F102</f>
        <v>0</v>
      </c>
      <c r="I102" s="382"/>
      <c r="J102" s="382"/>
      <c r="K102" s="123"/>
      <c r="L102" s="123"/>
      <c r="M102" s="123"/>
      <c r="N102" s="123"/>
    </row>
    <row r="103" spans="1:14" s="25" customFormat="1" ht="21" customHeight="1">
      <c r="A103" s="385" t="s">
        <v>221</v>
      </c>
      <c r="B103" s="385"/>
      <c r="C103" s="385"/>
      <c r="D103" s="319" t="e">
        <f>+Medici_2024!#REF!</f>
        <v>#REF!</v>
      </c>
      <c r="E103" s="123"/>
      <c r="F103" s="319" t="e">
        <f>+Medici_2025!#REF!</f>
        <v>#REF!</v>
      </c>
      <c r="G103" s="317"/>
      <c r="H103" s="319">
        <f>+Medici_2026!F103</f>
        <v>0</v>
      </c>
      <c r="I103" s="382"/>
      <c r="J103" s="382"/>
      <c r="K103" s="123"/>
      <c r="L103" s="123"/>
      <c r="M103" s="123"/>
      <c r="N103" s="123"/>
    </row>
    <row r="104" spans="1:14" s="25" customFormat="1" ht="21" customHeight="1">
      <c r="A104" s="367" t="s">
        <v>223</v>
      </c>
      <c r="B104" s="367"/>
      <c r="C104" s="367"/>
      <c r="D104" s="319" t="e">
        <f>+Medici_2024!#REF!</f>
        <v>#REF!</v>
      </c>
      <c r="E104" s="123"/>
      <c r="F104" s="319" t="e">
        <f>+Medici_2025!#REF!</f>
        <v>#REF!</v>
      </c>
      <c r="G104" s="317"/>
      <c r="H104" s="319">
        <f>+Medici_2026!F104</f>
        <v>0</v>
      </c>
      <c r="I104" s="382"/>
      <c r="J104" s="382"/>
      <c r="K104" s="123"/>
      <c r="L104" s="123"/>
      <c r="M104" s="123"/>
      <c r="N104" s="123"/>
    </row>
    <row r="105" spans="1:14" s="25" customFormat="1" ht="21" customHeight="1">
      <c r="A105" s="367" t="s">
        <v>224</v>
      </c>
      <c r="B105" s="367"/>
      <c r="C105" s="367"/>
      <c r="D105" s="320" t="e">
        <f>+Medici_2024!#REF!</f>
        <v>#REF!</v>
      </c>
      <c r="E105" s="123"/>
      <c r="F105" s="320" t="e">
        <f>+Medici_2025!#REF!</f>
        <v>#REF!</v>
      </c>
      <c r="G105" s="317"/>
      <c r="H105" s="320">
        <f>+Medici_2026!F105</f>
        <v>0</v>
      </c>
      <c r="I105" s="382"/>
      <c r="J105" s="382"/>
      <c r="K105" s="123"/>
      <c r="L105" s="123"/>
      <c r="M105" s="123"/>
      <c r="N105" s="123"/>
    </row>
    <row r="106" spans="1:14" s="25" customFormat="1" ht="21" customHeight="1">
      <c r="A106" s="367" t="s">
        <v>225</v>
      </c>
      <c r="B106" s="367"/>
      <c r="C106" s="367"/>
      <c r="D106" s="320" t="e">
        <f>+Medici_2024!#REF!</f>
        <v>#REF!</v>
      </c>
      <c r="E106" s="123"/>
      <c r="F106" s="320" t="e">
        <f>+Medici_2025!#REF!</f>
        <v>#REF!</v>
      </c>
      <c r="G106" s="321"/>
      <c r="H106" s="320">
        <f>+Medici_2026!F106</f>
        <v>0</v>
      </c>
      <c r="I106" s="382"/>
      <c r="J106" s="382"/>
      <c r="K106" s="123"/>
      <c r="L106" s="123"/>
      <c r="M106" s="123"/>
      <c r="N106" s="123"/>
    </row>
    <row r="107" spans="1:14">
      <c r="A107" s="123"/>
      <c r="B107" s="123"/>
      <c r="C107" s="123"/>
      <c r="D107" s="123"/>
      <c r="E107" s="123"/>
      <c r="F107" s="123"/>
      <c r="G107" s="123"/>
      <c r="H107" s="123"/>
      <c r="I107" s="123"/>
      <c r="J107" s="136"/>
      <c r="K107" s="123"/>
      <c r="L107" s="123"/>
      <c r="M107" s="123"/>
      <c r="N107" s="123"/>
    </row>
    <row r="108" spans="1:14" s="25" customFormat="1" ht="21" customHeight="1">
      <c r="A108" s="383" t="s">
        <v>428</v>
      </c>
      <c r="B108" s="383"/>
      <c r="C108" s="383"/>
      <c r="D108" s="319" t="e">
        <f>+Medici_2024!#REF!</f>
        <v>#REF!</v>
      </c>
      <c r="E108" s="123"/>
      <c r="F108" s="319" t="e">
        <f>+Medici_2025!#REF!</f>
        <v>#REF!</v>
      </c>
      <c r="G108" s="321"/>
      <c r="H108" s="319">
        <f>+Medici_2026!F107</f>
        <v>0</v>
      </c>
      <c r="I108" s="123"/>
      <c r="J108" s="136"/>
      <c r="K108" s="123"/>
      <c r="L108" s="123"/>
      <c r="M108" s="123"/>
      <c r="N108" s="123"/>
    </row>
    <row r="109" spans="1:14">
      <c r="A109" s="123"/>
      <c r="B109" s="123"/>
      <c r="C109" s="123"/>
      <c r="D109" s="123"/>
      <c r="E109" s="123"/>
      <c r="F109" s="123"/>
      <c r="G109" s="123"/>
      <c r="H109" s="123"/>
      <c r="I109" s="123"/>
      <c r="J109" s="136"/>
      <c r="K109" s="123"/>
      <c r="L109" s="123"/>
      <c r="M109" s="123"/>
      <c r="N109" s="123"/>
    </row>
  </sheetData>
  <mergeCells count="28">
    <mergeCell ref="A4:B4"/>
    <mergeCell ref="A5:B5"/>
    <mergeCell ref="A7:B7"/>
    <mergeCell ref="A9:B9"/>
    <mergeCell ref="A81:N81"/>
    <mergeCell ref="A83:C83"/>
    <mergeCell ref="A85:C85"/>
    <mergeCell ref="K85:K93"/>
    <mergeCell ref="A86:C86"/>
    <mergeCell ref="A87:C87"/>
    <mergeCell ref="A88:C88"/>
    <mergeCell ref="A89:C89"/>
    <mergeCell ref="A90:C90"/>
    <mergeCell ref="A92:C92"/>
    <mergeCell ref="I92:J92"/>
    <mergeCell ref="A108:C108"/>
    <mergeCell ref="A94:C94"/>
    <mergeCell ref="A96:N96"/>
    <mergeCell ref="A98:C98"/>
    <mergeCell ref="I98:J106"/>
    <mergeCell ref="A99:C99"/>
    <mergeCell ref="A100:C100"/>
    <mergeCell ref="A101:C101"/>
    <mergeCell ref="A102:C102"/>
    <mergeCell ref="A103:C103"/>
    <mergeCell ref="A104:C104"/>
    <mergeCell ref="A105:C105"/>
    <mergeCell ref="A106:C106"/>
  </mergeCells>
  <pageMargins left="0.25" right="0.25" top="0.75" bottom="0.75" header="0.3" footer="0.3"/>
  <pageSetup paperSize="8" scale="46" firstPageNumber="0" orientation="landscape" r:id="rId1"/>
  <headerFooter>
    <oddFooter>&amp;R&amp;"Arial,Normale"&amp;10&amp;A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79"/>
  <sheetViews>
    <sheetView showGridLines="0" zoomScale="110" zoomScaleNormal="110" zoomScalePageLayoutView="70" workbookViewId="0">
      <pane xSplit="2" ySplit="6" topLeftCell="C73" activePane="bottomRight" state="frozen"/>
      <selection pane="topRight" activeCell="C1" sqref="C1"/>
      <selection pane="bottomLeft" activeCell="A55" sqref="A55"/>
      <selection pane="bottomRight" activeCell="A3" sqref="A3"/>
    </sheetView>
  </sheetViews>
  <sheetFormatPr defaultColWidth="9.140625" defaultRowHeight="15"/>
  <cols>
    <col min="1" max="1" width="10.28515625" style="25" customWidth="1"/>
    <col min="2" max="2" width="49.5703125" style="25" customWidth="1"/>
    <col min="3" max="8" width="12.42578125" style="25" customWidth="1"/>
    <col min="9" max="9" width="18" style="25" customWidth="1"/>
    <col min="10" max="10" width="13.7109375" style="26" customWidth="1"/>
    <col min="11" max="12" width="18" style="25" customWidth="1"/>
    <col min="13" max="13" width="0.7109375" style="25" customWidth="1"/>
    <col min="14" max="14" width="37.7109375" style="25" customWidth="1"/>
    <col min="15" max="15" width="1.85546875" style="27" customWidth="1"/>
    <col min="16" max="16" width="11.5703125" style="25" hidden="1" customWidth="1"/>
    <col min="17" max="1024" width="9.140625" style="25"/>
  </cols>
  <sheetData>
    <row r="1" spans="1:16">
      <c r="A1" s="28" t="s">
        <v>50</v>
      </c>
      <c r="B1" s="29" t="str">
        <f>+Copertina!F20</f>
        <v xml:space="preserve">AO Civico </v>
      </c>
      <c r="C1" s="26"/>
      <c r="D1" s="26"/>
      <c r="E1" s="26"/>
      <c r="F1" s="26"/>
      <c r="G1" s="26"/>
      <c r="H1" s="26"/>
      <c r="J1" s="30"/>
    </row>
    <row r="2" spans="1:16" ht="15" customHeight="1">
      <c r="A2" s="31" t="str">
        <f>"Piano del Fabbisogno triennale 2024-2026 "&amp;B1</f>
        <v xml:space="preserve">Piano del Fabbisogno triennale 2024-2026 AO Civico </v>
      </c>
      <c r="B2" s="33"/>
      <c r="C2" s="33"/>
      <c r="D2" s="33"/>
      <c r="E2" s="33"/>
      <c r="F2" s="33"/>
      <c r="G2" s="33"/>
      <c r="H2" s="33"/>
      <c r="I2" s="33"/>
      <c r="J2" s="33"/>
      <c r="K2" s="32"/>
      <c r="L2" s="32"/>
      <c r="M2" s="33"/>
      <c r="N2" s="34"/>
      <c r="O2" s="35"/>
    </row>
    <row r="3" spans="1:16" ht="16.5" customHeight="1">
      <c r="A3" s="36" t="s">
        <v>234</v>
      </c>
      <c r="B3" s="263"/>
      <c r="C3" s="263"/>
      <c r="D3" s="263"/>
      <c r="E3" s="263"/>
      <c r="F3" s="263"/>
      <c r="G3" s="263"/>
      <c r="H3" s="263"/>
      <c r="I3" s="263"/>
      <c r="J3" s="263"/>
      <c r="K3" s="263"/>
      <c r="L3" s="263"/>
      <c r="M3" s="263"/>
      <c r="N3" s="224"/>
      <c r="O3" s="39"/>
    </row>
    <row r="4" spans="1:16" ht="87.75" customHeight="1">
      <c r="A4" s="391" t="s">
        <v>235</v>
      </c>
      <c r="B4" s="391"/>
      <c r="C4" s="225" t="s">
        <v>432</v>
      </c>
      <c r="D4" s="50" t="s">
        <v>433</v>
      </c>
      <c r="E4" s="41" t="s">
        <v>436</v>
      </c>
      <c r="F4" s="50" t="s">
        <v>437</v>
      </c>
      <c r="G4" s="41" t="s">
        <v>444</v>
      </c>
      <c r="H4" s="42" t="s">
        <v>445</v>
      </c>
      <c r="I4" s="322" t="s">
        <v>417</v>
      </c>
      <c r="J4" s="323" t="s">
        <v>418</v>
      </c>
      <c r="K4" s="324" t="s">
        <v>56</v>
      </c>
      <c r="L4" s="325" t="s">
        <v>57</v>
      </c>
      <c r="M4" s="48"/>
      <c r="N4" s="48" t="s">
        <v>61</v>
      </c>
      <c r="O4" s="49"/>
    </row>
    <row r="5" spans="1:16" ht="22.5" customHeight="1">
      <c r="A5" s="377"/>
      <c r="B5" s="377"/>
      <c r="C5" s="40" t="s">
        <v>62</v>
      </c>
      <c r="D5" s="50" t="s">
        <v>419</v>
      </c>
      <c r="E5" s="50" t="s">
        <v>420</v>
      </c>
      <c r="F5" s="50" t="s">
        <v>421</v>
      </c>
      <c r="G5" s="50" t="s">
        <v>422</v>
      </c>
      <c r="H5" s="42" t="s">
        <v>423</v>
      </c>
      <c r="I5" s="181" t="s">
        <v>68</v>
      </c>
      <c r="J5" s="51" t="s">
        <v>424</v>
      </c>
      <c r="K5" s="52" t="s">
        <v>70</v>
      </c>
      <c r="L5" s="53" t="s">
        <v>425</v>
      </c>
      <c r="M5" s="58"/>
      <c r="N5" s="326"/>
    </row>
    <row r="6" spans="1:16" ht="15" customHeight="1">
      <c r="A6" s="378" t="s">
        <v>241</v>
      </c>
      <c r="B6" s="378"/>
      <c r="C6" s="293">
        <f t="shared" ref="C6:L6" si="0">+SUM(C7:C79)</f>
        <v>2010</v>
      </c>
      <c r="D6" s="286">
        <f t="shared" si="0"/>
        <v>87835</v>
      </c>
      <c r="E6" s="286">
        <f t="shared" si="0"/>
        <v>2196</v>
      </c>
      <c r="F6" s="286">
        <f t="shared" si="0"/>
        <v>96559</v>
      </c>
      <c r="G6" s="286">
        <f t="shared" si="0"/>
        <v>2297</v>
      </c>
      <c r="H6" s="290">
        <f t="shared" si="0"/>
        <v>101393</v>
      </c>
      <c r="I6" s="327">
        <f t="shared" si="0"/>
        <v>0</v>
      </c>
      <c r="J6" s="293">
        <f t="shared" si="0"/>
        <v>388</v>
      </c>
      <c r="K6" s="286">
        <f t="shared" si="0"/>
        <v>196</v>
      </c>
      <c r="L6" s="290">
        <f t="shared" si="0"/>
        <v>192</v>
      </c>
      <c r="M6" s="77"/>
      <c r="N6" s="68"/>
      <c r="O6" s="79"/>
    </row>
    <row r="7" spans="1:16" s="93" customFormat="1" ht="11.25">
      <c r="A7" s="328" t="s">
        <v>242</v>
      </c>
      <c r="B7" s="329" t="s">
        <v>243</v>
      </c>
      <c r="C7" s="330">
        <f>+'Altri profili_2024_'!E7</f>
        <v>1145</v>
      </c>
      <c r="D7" s="331">
        <f>+'Altri profili_2024_'!F7</f>
        <v>51525</v>
      </c>
      <c r="E7" s="331">
        <f>+'Altri profili_2025_'!E7</f>
        <v>1295</v>
      </c>
      <c r="F7" s="331">
        <f>+'Altri profili_2025_'!F7</f>
        <v>58275</v>
      </c>
      <c r="G7" s="331">
        <f>+'Altri profili_2026'!E7</f>
        <v>1345</v>
      </c>
      <c r="H7" s="157">
        <f>+'Altri profili_2026'!F7</f>
        <v>60525</v>
      </c>
      <c r="I7" s="296">
        <f>+'Altri profili_2024_'!G7</f>
        <v>0</v>
      </c>
      <c r="J7" s="230">
        <f>+'Altri profili_2024_'!H7+'Altri profili_2025_'!G7+'Altri profili_2026'!G7</f>
        <v>250</v>
      </c>
      <c r="K7" s="231">
        <f>+'Altri profili_2024_'!I7+'Altri profili_2025_'!H7+'Altri profili_2026'!H7</f>
        <v>175</v>
      </c>
      <c r="L7" s="87">
        <f>+'Altri profili_2024_'!J7+'Altri profili_2025_'!I7+'Altri profili_2026'!I7</f>
        <v>75</v>
      </c>
      <c r="M7" s="88"/>
      <c r="N7" s="85"/>
      <c r="O7" s="92"/>
      <c r="P7" s="93" t="s">
        <v>243</v>
      </c>
    </row>
    <row r="8" spans="1:16" s="93" customFormat="1" ht="11.25">
      <c r="A8" s="332" t="s">
        <v>244</v>
      </c>
      <c r="B8" s="333" t="s">
        <v>245</v>
      </c>
      <c r="C8" s="233">
        <f>+'Altri profili_2024_'!E8</f>
        <v>0</v>
      </c>
      <c r="D8" s="234">
        <f>+'Altri profili_2024_'!F8</f>
        <v>0</v>
      </c>
      <c r="E8" s="234">
        <f>+'Altri profili_2025_'!E8</f>
        <v>0</v>
      </c>
      <c r="F8" s="234">
        <f>+'Altri profili_2025_'!F8</f>
        <v>0</v>
      </c>
      <c r="G8" s="234">
        <f>+'Altri profili_2026'!E8</f>
        <v>0</v>
      </c>
      <c r="H8" s="100">
        <f>+'Altri profili_2026'!F8</f>
        <v>0</v>
      </c>
      <c r="I8" s="300">
        <f>+'Altri profili_2024_'!G8</f>
        <v>0</v>
      </c>
      <c r="J8" s="233">
        <f>+'Altri profili_2024_'!H8+'Altri profili_2025_'!G8+'Altri profili_2026'!G8</f>
        <v>0</v>
      </c>
      <c r="K8" s="234">
        <f>+'Altri profili_2024_'!I8+'Altri profili_2025_'!H8+'Altri profili_2026'!H8</f>
        <v>0</v>
      </c>
      <c r="L8" s="100">
        <f>+'Altri profili_2024_'!J8+'Altri profili_2025_'!I8+'Altri profili_2026'!I8</f>
        <v>0</v>
      </c>
      <c r="M8" s="104"/>
      <c r="N8" s="98"/>
      <c r="O8" s="92"/>
      <c r="P8" s="93" t="s">
        <v>243</v>
      </c>
    </row>
    <row r="9" spans="1:16" s="93" customFormat="1" ht="11.25">
      <c r="A9" s="332" t="s">
        <v>246</v>
      </c>
      <c r="B9" s="333" t="s">
        <v>247</v>
      </c>
      <c r="C9" s="233">
        <f>+'Altri profili_2024_'!E9</f>
        <v>0</v>
      </c>
      <c r="D9" s="234">
        <f>+'Altri profili_2024_'!F9</f>
        <v>0</v>
      </c>
      <c r="E9" s="234">
        <f>+'Altri profili_2025_'!E9</f>
        <v>0</v>
      </c>
      <c r="F9" s="234">
        <f>+'Altri profili_2025_'!F9</f>
        <v>0</v>
      </c>
      <c r="G9" s="234">
        <f>+'Altri profili_2026'!E9</f>
        <v>0</v>
      </c>
      <c r="H9" s="100">
        <f>+'Altri profili_2026'!F9</f>
        <v>0</v>
      </c>
      <c r="I9" s="300">
        <f>+'Altri profili_2024_'!G9</f>
        <v>0</v>
      </c>
      <c r="J9" s="233">
        <f>+'Altri profili_2024_'!H9+'Altri profili_2025_'!G9+'Altri profili_2026'!G9</f>
        <v>0</v>
      </c>
      <c r="K9" s="234">
        <f>+'Altri profili_2024_'!I9+'Altri profili_2025_'!H9+'Altri profili_2026'!H9</f>
        <v>0</v>
      </c>
      <c r="L9" s="100">
        <f>+'Altri profili_2024_'!J9+'Altri profili_2025_'!I9+'Altri profili_2026'!I9</f>
        <v>0</v>
      </c>
      <c r="M9" s="104"/>
      <c r="N9" s="98"/>
      <c r="O9" s="92"/>
      <c r="P9" s="93" t="s">
        <v>243</v>
      </c>
    </row>
    <row r="10" spans="1:16" s="93" customFormat="1" ht="11.25">
      <c r="A10" s="334" t="s">
        <v>248</v>
      </c>
      <c r="B10" s="335" t="s">
        <v>249</v>
      </c>
      <c r="C10" s="233">
        <f>+'Altri profili_2024_'!E10</f>
        <v>0</v>
      </c>
      <c r="D10" s="234">
        <f>+'Altri profili_2024_'!F10</f>
        <v>0</v>
      </c>
      <c r="E10" s="234">
        <f>+'Altri profili_2025_'!E10</f>
        <v>0</v>
      </c>
      <c r="F10" s="234">
        <f>+'Altri profili_2025_'!F10</f>
        <v>0</v>
      </c>
      <c r="G10" s="234">
        <f>+'Altri profili_2026'!E10</f>
        <v>0</v>
      </c>
      <c r="H10" s="100">
        <f>+'Altri profili_2026'!F10</f>
        <v>0</v>
      </c>
      <c r="I10" s="300">
        <f>+'Altri profili_2024_'!G10</f>
        <v>0</v>
      </c>
      <c r="J10" s="233">
        <f>+'Altri profili_2024_'!H10+'Altri profili_2025_'!G10+'Altri profili_2026'!G10</f>
        <v>0</v>
      </c>
      <c r="K10" s="234">
        <f>+'Altri profili_2024_'!I10+'Altri profili_2025_'!H10+'Altri profili_2026'!H10</f>
        <v>0</v>
      </c>
      <c r="L10" s="100">
        <f>+'Altri profili_2024_'!J10+'Altri profili_2025_'!I10+'Altri profili_2026'!I10</f>
        <v>0</v>
      </c>
      <c r="M10" s="88"/>
      <c r="N10" s="98"/>
      <c r="O10" s="92"/>
      <c r="P10" s="93" t="s">
        <v>243</v>
      </c>
    </row>
    <row r="11" spans="1:16" s="93" customFormat="1" ht="11.25">
      <c r="A11" s="334" t="s">
        <v>250</v>
      </c>
      <c r="B11" s="335" t="s">
        <v>251</v>
      </c>
      <c r="C11" s="233">
        <f>+'Altri profili_2024_'!E11</f>
        <v>270</v>
      </c>
      <c r="D11" s="234">
        <f>+'Altri profili_2024_'!F11</f>
        <v>9720</v>
      </c>
      <c r="E11" s="234">
        <f>+'Altri profili_2025_'!E11</f>
        <v>270</v>
      </c>
      <c r="F11" s="234">
        <f>+'Altri profili_2025_'!F11</f>
        <v>9720</v>
      </c>
      <c r="G11" s="234">
        <f>+'Altri profili_2026'!E11</f>
        <v>270</v>
      </c>
      <c r="H11" s="100">
        <f>+'Altri profili_2026'!F11</f>
        <v>9720</v>
      </c>
      <c r="I11" s="300">
        <f>+'Altri profili_2024_'!G11</f>
        <v>0</v>
      </c>
      <c r="J11" s="233">
        <f>+'Altri profili_2024_'!H11+'Altri profili_2025_'!G11+'Altri profili_2026'!G11</f>
        <v>0</v>
      </c>
      <c r="K11" s="234">
        <f>+'Altri profili_2024_'!I11+'Altri profili_2025_'!H11+'Altri profili_2026'!H11</f>
        <v>0</v>
      </c>
      <c r="L11" s="100">
        <f>+'Altri profili_2024_'!J11+'Altri profili_2025_'!I11+'Altri profili_2026'!I11</f>
        <v>0</v>
      </c>
      <c r="M11" s="88"/>
      <c r="N11" s="98"/>
      <c r="O11" s="92"/>
      <c r="P11" s="93" t="s">
        <v>252</v>
      </c>
    </row>
    <row r="12" spans="1:16" s="93" customFormat="1" ht="11.25">
      <c r="A12" s="332" t="s">
        <v>253</v>
      </c>
      <c r="B12" s="333" t="s">
        <v>254</v>
      </c>
      <c r="C12" s="233">
        <f>+'Altri profili_2024_'!E12</f>
        <v>0</v>
      </c>
      <c r="D12" s="234">
        <f>+'Altri profili_2024_'!F12</f>
        <v>0</v>
      </c>
      <c r="E12" s="234">
        <f>+'Altri profili_2025_'!E12</f>
        <v>0</v>
      </c>
      <c r="F12" s="234">
        <f>+'Altri profili_2025_'!F12</f>
        <v>0</v>
      </c>
      <c r="G12" s="234">
        <f>+'Altri profili_2026'!E12</f>
        <v>0</v>
      </c>
      <c r="H12" s="100">
        <f>+'Altri profili_2026'!F12</f>
        <v>0</v>
      </c>
      <c r="I12" s="300">
        <f>+'Altri profili_2024_'!G12</f>
        <v>0</v>
      </c>
      <c r="J12" s="233">
        <f>+'Altri profili_2024_'!H12+'Altri profili_2025_'!G12+'Altri profili_2026'!G12</f>
        <v>0</v>
      </c>
      <c r="K12" s="234">
        <f>+'Altri profili_2024_'!I12+'Altri profili_2025_'!H12+'Altri profili_2026'!H12</f>
        <v>0</v>
      </c>
      <c r="L12" s="100">
        <f>+'Altri profili_2024_'!J12+'Altri profili_2025_'!I12+'Altri profili_2026'!I12</f>
        <v>0</v>
      </c>
      <c r="M12" s="104"/>
      <c r="N12" s="98"/>
      <c r="O12" s="92"/>
      <c r="P12" s="93" t="s">
        <v>252</v>
      </c>
    </row>
    <row r="13" spans="1:16" s="93" customFormat="1" ht="11.25">
      <c r="A13" s="334" t="s">
        <v>255</v>
      </c>
      <c r="B13" s="335" t="s">
        <v>256</v>
      </c>
      <c r="C13" s="233">
        <f>+'Altri profili_2024_'!E13</f>
        <v>15</v>
      </c>
      <c r="D13" s="234">
        <f>+'Altri profili_2024_'!F13</f>
        <v>480</v>
      </c>
      <c r="E13" s="234">
        <f>+'Altri profili_2025_'!E13</f>
        <v>15</v>
      </c>
      <c r="F13" s="234">
        <f>+'Altri profili_2025_'!F13</f>
        <v>480</v>
      </c>
      <c r="G13" s="234">
        <f>+'Altri profili_2026'!E13</f>
        <v>15</v>
      </c>
      <c r="H13" s="100">
        <f>+'Altri profili_2026'!F13</f>
        <v>480</v>
      </c>
      <c r="I13" s="300">
        <f>+'Altri profili_2024_'!G13</f>
        <v>0</v>
      </c>
      <c r="J13" s="233">
        <f>+'Altri profili_2024_'!H13+'Altri profili_2025_'!G13+'Altri profili_2026'!G13</f>
        <v>0</v>
      </c>
      <c r="K13" s="234">
        <f>+'Altri profili_2024_'!I13+'Altri profili_2025_'!H13+'Altri profili_2026'!H13</f>
        <v>0</v>
      </c>
      <c r="L13" s="100">
        <f>+'Altri profili_2024_'!J13+'Altri profili_2025_'!I13+'Altri profili_2026'!I13</f>
        <v>0</v>
      </c>
      <c r="M13" s="104"/>
      <c r="N13" s="98"/>
      <c r="O13" s="92"/>
      <c r="P13" s="93" t="s">
        <v>252</v>
      </c>
    </row>
    <row r="14" spans="1:16" s="93" customFormat="1" ht="11.25">
      <c r="A14" s="334" t="s">
        <v>257</v>
      </c>
      <c r="B14" s="335" t="s">
        <v>258</v>
      </c>
      <c r="C14" s="233">
        <f>+'Altri profili_2024_'!E14</f>
        <v>1</v>
      </c>
      <c r="D14" s="234">
        <f>+'Altri profili_2024_'!F14</f>
        <v>0</v>
      </c>
      <c r="E14" s="234">
        <f>+'Altri profili_2025_'!E14</f>
        <v>1</v>
      </c>
      <c r="F14" s="234">
        <f>+'Altri profili_2025_'!F14</f>
        <v>0</v>
      </c>
      <c r="G14" s="234">
        <f>+'Altri profili_2026'!E14</f>
        <v>1</v>
      </c>
      <c r="H14" s="100">
        <f>+'Altri profili_2026'!F14</f>
        <v>40</v>
      </c>
      <c r="I14" s="300">
        <f>+'Altri profili_2024_'!G14</f>
        <v>0</v>
      </c>
      <c r="J14" s="233">
        <f>+'Altri profili_2024_'!H14+'Altri profili_2025_'!G14+'Altri profili_2026'!G14</f>
        <v>0</v>
      </c>
      <c r="K14" s="234">
        <f>+'Altri profili_2024_'!I14+'Altri profili_2025_'!H14+'Altri profili_2026'!H14</f>
        <v>0</v>
      </c>
      <c r="L14" s="100">
        <f>+'Altri profili_2024_'!J14+'Altri profili_2025_'!I14+'Altri profili_2026'!I14</f>
        <v>0</v>
      </c>
      <c r="M14" s="104"/>
      <c r="N14" s="98"/>
      <c r="O14" s="92"/>
      <c r="P14" s="93" t="s">
        <v>259</v>
      </c>
    </row>
    <row r="15" spans="1:16" s="93" customFormat="1" ht="11.25">
      <c r="A15" s="334" t="s">
        <v>260</v>
      </c>
      <c r="B15" s="335" t="s">
        <v>261</v>
      </c>
      <c r="C15" s="233">
        <f>+'Altri profili_2024_'!E15</f>
        <v>0</v>
      </c>
      <c r="D15" s="234">
        <f>+'Altri profili_2024_'!F15</f>
        <v>0</v>
      </c>
      <c r="E15" s="234">
        <f>+'Altri profili_2025_'!E15</f>
        <v>0</v>
      </c>
      <c r="F15" s="234">
        <f>+'Altri profili_2025_'!F15</f>
        <v>0</v>
      </c>
      <c r="G15" s="234">
        <f>+'Altri profili_2026'!E15</f>
        <v>0</v>
      </c>
      <c r="H15" s="100">
        <f>+'Altri profili_2026'!F15</f>
        <v>0</v>
      </c>
      <c r="I15" s="300">
        <f>+'Altri profili_2024_'!G15</f>
        <v>0</v>
      </c>
      <c r="J15" s="233">
        <f>+'Altri profili_2024_'!H15+'Altri profili_2025_'!G15+'Altri profili_2026'!G15</f>
        <v>0</v>
      </c>
      <c r="K15" s="234">
        <f>+'Altri profili_2024_'!I15+'Altri profili_2025_'!H15+'Altri profili_2026'!H15</f>
        <v>0</v>
      </c>
      <c r="L15" s="100">
        <f>+'Altri profili_2024_'!J15+'Altri profili_2025_'!I15+'Altri profili_2026'!I15</f>
        <v>0</v>
      </c>
      <c r="M15" s="104"/>
      <c r="N15" s="98"/>
      <c r="O15" s="92"/>
      <c r="P15" s="93" t="s">
        <v>262</v>
      </c>
    </row>
    <row r="16" spans="1:16" s="93" customFormat="1" ht="11.25">
      <c r="A16" s="336" t="s">
        <v>263</v>
      </c>
      <c r="B16" s="337" t="s">
        <v>264</v>
      </c>
      <c r="C16" s="233">
        <f>+'Altri profili_2024_'!E16</f>
        <v>0</v>
      </c>
      <c r="D16" s="234">
        <f>+'Altri profili_2024_'!F16</f>
        <v>0</v>
      </c>
      <c r="E16" s="234">
        <f>+'Altri profili_2025_'!E16</f>
        <v>0</v>
      </c>
      <c r="F16" s="234">
        <f>+'Altri profili_2025_'!F16</f>
        <v>0</v>
      </c>
      <c r="G16" s="234">
        <f>+'Altri profili_2026'!E16</f>
        <v>0</v>
      </c>
      <c r="H16" s="100">
        <f>+'Altri profili_2026'!F16</f>
        <v>0</v>
      </c>
      <c r="I16" s="300">
        <f>+'Altri profili_2024_'!G16</f>
        <v>0</v>
      </c>
      <c r="J16" s="233">
        <f>+'Altri profili_2024_'!H16+'Altri profili_2025_'!G16+'Altri profili_2026'!G16</f>
        <v>0</v>
      </c>
      <c r="K16" s="234">
        <f>+'Altri profili_2024_'!I16+'Altri profili_2025_'!H16+'Altri profili_2026'!H16</f>
        <v>0</v>
      </c>
      <c r="L16" s="100">
        <f>+'Altri profili_2024_'!J16+'Altri profili_2025_'!I16+'Altri profili_2026'!I16</f>
        <v>0</v>
      </c>
      <c r="M16" s="104"/>
      <c r="N16" s="98"/>
      <c r="O16" s="92"/>
      <c r="P16" s="93" t="s">
        <v>262</v>
      </c>
    </row>
    <row r="17" spans="1:16" s="93" customFormat="1" ht="11.25">
      <c r="A17" s="336" t="s">
        <v>265</v>
      </c>
      <c r="B17" s="337" t="s">
        <v>266</v>
      </c>
      <c r="C17" s="233">
        <f>+'Altri profili_2024_'!E17</f>
        <v>27</v>
      </c>
      <c r="D17" s="234">
        <f>+'Altri profili_2024_'!F17</f>
        <v>1161</v>
      </c>
      <c r="E17" s="234">
        <f>+'Altri profili_2025_'!E17</f>
        <v>30</v>
      </c>
      <c r="F17" s="234">
        <f>+'Altri profili_2025_'!F17</f>
        <v>1290</v>
      </c>
      <c r="G17" s="234">
        <f>+'Altri profili_2026'!E17</f>
        <v>33</v>
      </c>
      <c r="H17" s="100">
        <f>+'Altri profili_2026'!F17</f>
        <v>1419</v>
      </c>
      <c r="I17" s="300">
        <f>+'Altri profili_2024_'!G17</f>
        <v>0</v>
      </c>
      <c r="J17" s="233">
        <f>+'Altri profili_2024_'!H17+'Altri profili_2025_'!G17+'Altri profili_2026'!G17</f>
        <v>9</v>
      </c>
      <c r="K17" s="234">
        <f>+'Altri profili_2024_'!I17+'Altri profili_2025_'!H17+'Altri profili_2026'!H17</f>
        <v>0</v>
      </c>
      <c r="L17" s="100">
        <f>+'Altri profili_2024_'!J17+'Altri profili_2025_'!I17+'Altri profili_2026'!I17</f>
        <v>9</v>
      </c>
      <c r="M17" s="104"/>
      <c r="N17" s="98"/>
      <c r="O17" s="92"/>
      <c r="P17" s="93" t="s">
        <v>262</v>
      </c>
    </row>
    <row r="18" spans="1:16" s="93" customFormat="1" ht="11.25">
      <c r="A18" s="336" t="s">
        <v>267</v>
      </c>
      <c r="B18" s="337" t="s">
        <v>268</v>
      </c>
      <c r="C18" s="233">
        <f>+'Altri profili_2024_'!E18</f>
        <v>1</v>
      </c>
      <c r="D18" s="234">
        <f>+'Altri profili_2024_'!F18</f>
        <v>41</v>
      </c>
      <c r="E18" s="234">
        <f>+'Altri profili_2025_'!E18</f>
        <v>2</v>
      </c>
      <c r="F18" s="234">
        <f>+'Altri profili_2025_'!F18</f>
        <v>82</v>
      </c>
      <c r="G18" s="234">
        <f>+'Altri profili_2026'!E18</f>
        <v>2</v>
      </c>
      <c r="H18" s="100">
        <f>+'Altri profili_2026'!F18</f>
        <v>82</v>
      </c>
      <c r="I18" s="300">
        <f>+'Altri profili_2024_'!G18</f>
        <v>0</v>
      </c>
      <c r="J18" s="233">
        <f>+'Altri profili_2024_'!H18+'Altri profili_2025_'!G18+'Altri profili_2026'!G18</f>
        <v>1</v>
      </c>
      <c r="K18" s="234">
        <f>+'Altri profili_2024_'!I18+'Altri profili_2025_'!H18+'Altri profili_2026'!H18</f>
        <v>0</v>
      </c>
      <c r="L18" s="100">
        <f>+'Altri profili_2024_'!J18+'Altri profili_2025_'!I18+'Altri profili_2026'!I18</f>
        <v>1</v>
      </c>
      <c r="M18" s="104"/>
      <c r="N18" s="98"/>
      <c r="O18" s="92"/>
      <c r="P18" s="93" t="s">
        <v>262</v>
      </c>
    </row>
    <row r="19" spans="1:16" s="93" customFormat="1" ht="11.25">
      <c r="A19" s="336" t="s">
        <v>269</v>
      </c>
      <c r="B19" s="337" t="s">
        <v>270</v>
      </c>
      <c r="C19" s="233">
        <f>+'Altri profili_2024_'!E19</f>
        <v>0</v>
      </c>
      <c r="D19" s="234">
        <f>+'Altri profili_2024_'!F19</f>
        <v>0</v>
      </c>
      <c r="E19" s="234">
        <f>+'Altri profili_2025_'!E19</f>
        <v>0</v>
      </c>
      <c r="F19" s="234">
        <f>+'Altri profili_2025_'!F19</f>
        <v>0</v>
      </c>
      <c r="G19" s="234">
        <f>+'Altri profili_2026'!E19</f>
        <v>0</v>
      </c>
      <c r="H19" s="100">
        <f>+'Altri profili_2026'!F19</f>
        <v>0</v>
      </c>
      <c r="I19" s="300">
        <f>+'Altri profili_2024_'!G19</f>
        <v>0</v>
      </c>
      <c r="J19" s="233">
        <f>+'Altri profili_2024_'!H19+'Altri profili_2025_'!G19+'Altri profili_2026'!G19</f>
        <v>0</v>
      </c>
      <c r="K19" s="234">
        <f>+'Altri profili_2024_'!I19+'Altri profili_2025_'!H19+'Altri profili_2026'!H19</f>
        <v>0</v>
      </c>
      <c r="L19" s="100">
        <f>+'Altri profili_2024_'!J19+'Altri profili_2025_'!I19+'Altri profili_2026'!I19</f>
        <v>0</v>
      </c>
      <c r="M19" s="104"/>
      <c r="N19" s="98"/>
      <c r="O19" s="92"/>
      <c r="P19" s="93" t="s">
        <v>262</v>
      </c>
    </row>
    <row r="20" spans="1:16" s="93" customFormat="1" ht="11.25">
      <c r="A20" s="336" t="s">
        <v>271</v>
      </c>
      <c r="B20" s="337" t="s">
        <v>272</v>
      </c>
      <c r="C20" s="233">
        <f>+'Altri profili_2024_'!E20</f>
        <v>0</v>
      </c>
      <c r="D20" s="234">
        <f>+'Altri profili_2024_'!F20</f>
        <v>0</v>
      </c>
      <c r="E20" s="234">
        <f>+'Altri profili_2025_'!E20</f>
        <v>0</v>
      </c>
      <c r="F20" s="234">
        <f>+'Altri profili_2025_'!F20</f>
        <v>0</v>
      </c>
      <c r="G20" s="234">
        <f>+'Altri profili_2026'!E20</f>
        <v>0</v>
      </c>
      <c r="H20" s="100">
        <f>+'Altri profili_2026'!F20</f>
        <v>0</v>
      </c>
      <c r="I20" s="300">
        <f>+'Altri profili_2024_'!G20</f>
        <v>0</v>
      </c>
      <c r="J20" s="233">
        <f>+'Altri profili_2024_'!H20+'Altri profili_2025_'!G20+'Altri profili_2026'!G20</f>
        <v>0</v>
      </c>
      <c r="K20" s="234">
        <f>+'Altri profili_2024_'!I20+'Altri profili_2025_'!H20+'Altri profili_2026'!H20</f>
        <v>0</v>
      </c>
      <c r="L20" s="100">
        <f>+'Altri profili_2024_'!J20+'Altri profili_2025_'!I20+'Altri profili_2026'!I20</f>
        <v>0</v>
      </c>
      <c r="M20" s="104"/>
      <c r="N20" s="98"/>
      <c r="O20" s="92"/>
      <c r="P20" s="93" t="s">
        <v>262</v>
      </c>
    </row>
    <row r="21" spans="1:16" s="93" customFormat="1" ht="11.25">
      <c r="A21" s="336" t="s">
        <v>273</v>
      </c>
      <c r="B21" s="337" t="s">
        <v>274</v>
      </c>
      <c r="C21" s="233">
        <f>+'Altri profili_2024_'!E21</f>
        <v>1</v>
      </c>
      <c r="D21" s="234">
        <f>+'Altri profili_2024_'!F21</f>
        <v>43</v>
      </c>
      <c r="E21" s="234">
        <f>+'Altri profili_2025_'!E21</f>
        <v>1</v>
      </c>
      <c r="F21" s="234">
        <f>+'Altri profili_2025_'!F21</f>
        <v>43</v>
      </c>
      <c r="G21" s="234">
        <f>+'Altri profili_2026'!E21</f>
        <v>1</v>
      </c>
      <c r="H21" s="100">
        <f>+'Altri profili_2026'!F21</f>
        <v>43</v>
      </c>
      <c r="I21" s="300">
        <f>+'Altri profili_2024_'!G21</f>
        <v>0</v>
      </c>
      <c r="J21" s="233">
        <f>+'Altri profili_2024_'!H21+'Altri profili_2025_'!G21+'Altri profili_2026'!G21</f>
        <v>0</v>
      </c>
      <c r="K21" s="234">
        <f>+'Altri profili_2024_'!I21+'Altri profili_2025_'!H21+'Altri profili_2026'!H21</f>
        <v>0</v>
      </c>
      <c r="L21" s="100">
        <f>+'Altri profili_2024_'!J21+'Altri profili_2025_'!I21+'Altri profili_2026'!I21</f>
        <v>0</v>
      </c>
      <c r="M21" s="104"/>
      <c r="N21" s="98"/>
      <c r="O21" s="92"/>
      <c r="P21" s="93" t="s">
        <v>262</v>
      </c>
    </row>
    <row r="22" spans="1:16" s="93" customFormat="1" ht="11.25">
      <c r="A22" s="336" t="s">
        <v>275</v>
      </c>
      <c r="B22" s="337" t="s">
        <v>276</v>
      </c>
      <c r="C22" s="233">
        <f>+'Altri profili_2024_'!E22</f>
        <v>1</v>
      </c>
      <c r="D22" s="234">
        <f>+'Altri profili_2024_'!F22</f>
        <v>37</v>
      </c>
      <c r="E22" s="234">
        <f>+'Altri profili_2025_'!E22</f>
        <v>1</v>
      </c>
      <c r="F22" s="234">
        <f>+'Altri profili_2025_'!F22</f>
        <v>37</v>
      </c>
      <c r="G22" s="234">
        <f>+'Altri profili_2026'!E22</f>
        <v>1</v>
      </c>
      <c r="H22" s="100">
        <f>+'Altri profili_2026'!F22</f>
        <v>37</v>
      </c>
      <c r="I22" s="300">
        <f>+'Altri profili_2024_'!G22</f>
        <v>0</v>
      </c>
      <c r="J22" s="233">
        <f>+'Altri profili_2024_'!H22+'Altri profili_2025_'!G22+'Altri profili_2026'!G22</f>
        <v>0</v>
      </c>
      <c r="K22" s="234">
        <f>+'Altri profili_2024_'!I22+'Altri profili_2025_'!H22+'Altri profili_2026'!H22</f>
        <v>0</v>
      </c>
      <c r="L22" s="100">
        <f>+'Altri profili_2024_'!J22+'Altri profili_2025_'!I22+'Altri profili_2026'!I22</f>
        <v>0</v>
      </c>
      <c r="M22" s="104"/>
      <c r="N22" s="98"/>
      <c r="O22" s="92"/>
      <c r="P22" s="93" t="s">
        <v>262</v>
      </c>
    </row>
    <row r="23" spans="1:16" s="93" customFormat="1" ht="11.25">
      <c r="A23" s="336" t="s">
        <v>277</v>
      </c>
      <c r="B23" s="337" t="s">
        <v>278</v>
      </c>
      <c r="C23" s="233">
        <f>+'Altri profili_2024_'!E23</f>
        <v>0</v>
      </c>
      <c r="D23" s="234">
        <f>+'Altri profili_2024_'!F23</f>
        <v>0</v>
      </c>
      <c r="E23" s="234">
        <f>+'Altri profili_2025_'!E23</f>
        <v>0</v>
      </c>
      <c r="F23" s="234">
        <f>+'Altri profili_2025_'!F23</f>
        <v>0</v>
      </c>
      <c r="G23" s="234">
        <f>+'Altri profili_2026'!E23</f>
        <v>0</v>
      </c>
      <c r="H23" s="100">
        <f>+'Altri profili_2026'!F23</f>
        <v>0</v>
      </c>
      <c r="I23" s="300">
        <f>+'Altri profili_2024_'!G23</f>
        <v>0</v>
      </c>
      <c r="J23" s="233">
        <f>+'Altri profili_2024_'!H23+'Altri profili_2025_'!G23+'Altri profili_2026'!G23</f>
        <v>0</v>
      </c>
      <c r="K23" s="234">
        <f>+'Altri profili_2024_'!I23+'Altri profili_2025_'!H23+'Altri profili_2026'!H23</f>
        <v>0</v>
      </c>
      <c r="L23" s="100">
        <f>+'Altri profili_2024_'!J23+'Altri profili_2025_'!I23+'Altri profili_2026'!I23</f>
        <v>0</v>
      </c>
      <c r="M23" s="104"/>
      <c r="N23" s="98"/>
      <c r="O23" s="92"/>
      <c r="P23" s="93" t="s">
        <v>262</v>
      </c>
    </row>
    <row r="24" spans="1:16" s="93" customFormat="1" ht="11.25">
      <c r="A24" s="336" t="s">
        <v>279</v>
      </c>
      <c r="B24" s="337" t="s">
        <v>280</v>
      </c>
      <c r="C24" s="233">
        <f>+'Altri profili_2024_'!E24</f>
        <v>0</v>
      </c>
      <c r="D24" s="234">
        <f>+'Altri profili_2024_'!F24</f>
        <v>0</v>
      </c>
      <c r="E24" s="234">
        <f>+'Altri profili_2025_'!E24</f>
        <v>0</v>
      </c>
      <c r="F24" s="234">
        <f>+'Altri profili_2025_'!F24</f>
        <v>0</v>
      </c>
      <c r="G24" s="234">
        <f>+'Altri profili_2026'!E24</f>
        <v>0</v>
      </c>
      <c r="H24" s="100">
        <f>+'Altri profili_2026'!F24</f>
        <v>0</v>
      </c>
      <c r="I24" s="300">
        <f>+'Altri profili_2024_'!G24</f>
        <v>0</v>
      </c>
      <c r="J24" s="233">
        <f>+'Altri profili_2024_'!H24+'Altri profili_2025_'!G24+'Altri profili_2026'!G24</f>
        <v>0</v>
      </c>
      <c r="K24" s="234">
        <f>+'Altri profili_2024_'!I24+'Altri profili_2025_'!H24+'Altri profili_2026'!H24</f>
        <v>0</v>
      </c>
      <c r="L24" s="100">
        <f>+'Altri profili_2024_'!J24+'Altri profili_2025_'!I24+'Altri profili_2026'!I24</f>
        <v>0</v>
      </c>
      <c r="M24" s="104"/>
      <c r="N24" s="98"/>
      <c r="O24" s="92"/>
      <c r="P24" s="93" t="s">
        <v>262</v>
      </c>
    </row>
    <row r="25" spans="1:16" s="93" customFormat="1" ht="11.25">
      <c r="A25" s="336" t="s">
        <v>281</v>
      </c>
      <c r="B25" s="335" t="s">
        <v>282</v>
      </c>
      <c r="C25" s="233">
        <f>+'Altri profili_2024_'!E25</f>
        <v>0</v>
      </c>
      <c r="D25" s="234">
        <f>+'Altri profili_2024_'!F25</f>
        <v>0</v>
      </c>
      <c r="E25" s="234">
        <f>+'Altri profili_2025_'!E25</f>
        <v>0</v>
      </c>
      <c r="F25" s="234">
        <f>+'Altri profili_2025_'!F25</f>
        <v>0</v>
      </c>
      <c r="G25" s="234">
        <f>+'Altri profili_2026'!E25</f>
        <v>0</v>
      </c>
      <c r="H25" s="100">
        <f>+'Altri profili_2026'!F25</f>
        <v>0</v>
      </c>
      <c r="I25" s="300">
        <f>+'Altri profili_2024_'!G25</f>
        <v>0</v>
      </c>
      <c r="J25" s="233">
        <f>+'Altri profili_2024_'!H25+'Altri profili_2025_'!G25+'Altri profili_2026'!G25</f>
        <v>0</v>
      </c>
      <c r="K25" s="234">
        <f>+'Altri profili_2024_'!I25+'Altri profili_2025_'!H25+'Altri profili_2026'!H25</f>
        <v>0</v>
      </c>
      <c r="L25" s="100">
        <f>+'Altri profili_2024_'!J25+'Altri profili_2025_'!I25+'Altri profili_2026'!I25</f>
        <v>0</v>
      </c>
      <c r="M25" s="104"/>
      <c r="N25" s="98"/>
      <c r="O25" s="92"/>
      <c r="P25" s="93" t="s">
        <v>262</v>
      </c>
    </row>
    <row r="26" spans="1:16" s="93" customFormat="1" ht="11.25">
      <c r="A26" s="336" t="s">
        <v>283</v>
      </c>
      <c r="B26" s="337" t="s">
        <v>284</v>
      </c>
      <c r="C26" s="233">
        <f>+'Altri profili_2024_'!E26</f>
        <v>2</v>
      </c>
      <c r="D26" s="234">
        <f>+'Altri profili_2024_'!F26</f>
        <v>90</v>
      </c>
      <c r="E26" s="234">
        <f>+'Altri profili_2025_'!E26</f>
        <v>2</v>
      </c>
      <c r="F26" s="234">
        <f>+'Altri profili_2025_'!F26</f>
        <v>90</v>
      </c>
      <c r="G26" s="234">
        <f>+'Altri profili_2026'!E26</f>
        <v>2</v>
      </c>
      <c r="H26" s="100">
        <f>+'Altri profili_2026'!F26</f>
        <v>90</v>
      </c>
      <c r="I26" s="300">
        <f>+'Altri profili_2024_'!G26</f>
        <v>0</v>
      </c>
      <c r="J26" s="233">
        <f>+'Altri profili_2024_'!H26+'Altri profili_2025_'!G26+'Altri profili_2026'!G26</f>
        <v>0</v>
      </c>
      <c r="K26" s="234">
        <f>+'Altri profili_2024_'!I26+'Altri profili_2025_'!H26+'Altri profili_2026'!H26</f>
        <v>0</v>
      </c>
      <c r="L26" s="100">
        <f>+'Altri profili_2024_'!J26+'Altri profili_2025_'!I26+'Altri profili_2026'!I26</f>
        <v>0</v>
      </c>
      <c r="M26" s="104"/>
      <c r="N26" s="98"/>
      <c r="O26" s="92"/>
      <c r="P26" s="93" t="s">
        <v>259</v>
      </c>
    </row>
    <row r="27" spans="1:16" s="93" customFormat="1" ht="11.25">
      <c r="A27" s="336" t="s">
        <v>285</v>
      </c>
      <c r="B27" s="337" t="s">
        <v>286</v>
      </c>
      <c r="C27" s="233">
        <f>+'Altri profili_2024_'!E27</f>
        <v>0</v>
      </c>
      <c r="D27" s="234">
        <f>+'Altri profili_2024_'!F27</f>
        <v>0</v>
      </c>
      <c r="E27" s="234">
        <f>+'Altri profili_2025_'!E27</f>
        <v>0</v>
      </c>
      <c r="F27" s="234">
        <f>+'Altri profili_2025_'!F27</f>
        <v>0</v>
      </c>
      <c r="G27" s="234">
        <f>+'Altri profili_2026'!E27</f>
        <v>0</v>
      </c>
      <c r="H27" s="100">
        <f>+'Altri profili_2026'!F27</f>
        <v>0</v>
      </c>
      <c r="I27" s="300">
        <f>+'Altri profili_2024_'!G27</f>
        <v>0</v>
      </c>
      <c r="J27" s="233">
        <f>+'Altri profili_2024_'!H27+'Altri profili_2025_'!G27+'Altri profili_2026'!G27</f>
        <v>0</v>
      </c>
      <c r="K27" s="234">
        <f>+'Altri profili_2024_'!I27+'Altri profili_2025_'!H27+'Altri profili_2026'!H27</f>
        <v>0</v>
      </c>
      <c r="L27" s="100">
        <f>+'Altri profili_2024_'!J27+'Altri profili_2025_'!I27+'Altri profili_2026'!I27</f>
        <v>0</v>
      </c>
      <c r="M27" s="104"/>
      <c r="N27" s="98"/>
      <c r="O27" s="92"/>
      <c r="P27" s="93" t="s">
        <v>259</v>
      </c>
    </row>
    <row r="28" spans="1:16" s="93" customFormat="1" ht="11.25">
      <c r="A28" s="336" t="s">
        <v>287</v>
      </c>
      <c r="B28" s="337" t="s">
        <v>288</v>
      </c>
      <c r="C28" s="233">
        <f>+'Altri profili_2024_'!E28</f>
        <v>1</v>
      </c>
      <c r="D28" s="234">
        <f>+'Altri profili_2024_'!F28</f>
        <v>45</v>
      </c>
      <c r="E28" s="234">
        <f>+'Altri profili_2025_'!E28</f>
        <v>2</v>
      </c>
      <c r="F28" s="234">
        <f>+'Altri profili_2025_'!F28</f>
        <v>90</v>
      </c>
      <c r="G28" s="234">
        <f>+'Altri profili_2026'!E28</f>
        <v>2</v>
      </c>
      <c r="H28" s="100">
        <f>+'Altri profili_2026'!F28</f>
        <v>90</v>
      </c>
      <c r="I28" s="300">
        <f>+'Altri profili_2024_'!G28</f>
        <v>0</v>
      </c>
      <c r="J28" s="233">
        <f>+'Altri profili_2024_'!H28+'Altri profili_2025_'!G28+'Altri profili_2026'!G28</f>
        <v>1</v>
      </c>
      <c r="K28" s="234">
        <f>+'Altri profili_2024_'!I28+'Altri profili_2025_'!H28+'Altri profili_2026'!H28</f>
        <v>0</v>
      </c>
      <c r="L28" s="100">
        <f>+'Altri profili_2024_'!J28+'Altri profili_2025_'!I28+'Altri profili_2026'!I28</f>
        <v>1</v>
      </c>
      <c r="M28" s="104"/>
      <c r="N28" s="98"/>
      <c r="O28" s="92"/>
      <c r="P28" s="93" t="s">
        <v>259</v>
      </c>
    </row>
    <row r="29" spans="1:16" s="93" customFormat="1" ht="11.25">
      <c r="A29" s="336" t="s">
        <v>289</v>
      </c>
      <c r="B29" s="337" t="s">
        <v>290</v>
      </c>
      <c r="C29" s="233">
        <f>+'Altri profili_2024_'!E29</f>
        <v>0</v>
      </c>
      <c r="D29" s="234">
        <f>+'Altri profili_2024_'!F29</f>
        <v>0</v>
      </c>
      <c r="E29" s="234">
        <f>+'Altri profili_2025_'!E29</f>
        <v>0</v>
      </c>
      <c r="F29" s="234">
        <f>+'Altri profili_2025_'!F29</f>
        <v>0</v>
      </c>
      <c r="G29" s="234">
        <f>+'Altri profili_2026'!E29</f>
        <v>0</v>
      </c>
      <c r="H29" s="100">
        <f>+'Altri profili_2026'!F29</f>
        <v>0</v>
      </c>
      <c r="I29" s="300">
        <f>+'Altri profili_2024_'!G29</f>
        <v>0</v>
      </c>
      <c r="J29" s="233">
        <f>+'Altri profili_2024_'!H29+'Altri profili_2025_'!G29+'Altri profili_2026'!G29</f>
        <v>0</v>
      </c>
      <c r="K29" s="234">
        <f>+'Altri profili_2024_'!I29+'Altri profili_2025_'!H29+'Altri profili_2026'!H29</f>
        <v>0</v>
      </c>
      <c r="L29" s="100">
        <f>+'Altri profili_2024_'!J29+'Altri profili_2025_'!I29+'Altri profili_2026'!I29</f>
        <v>0</v>
      </c>
      <c r="M29" s="104"/>
      <c r="N29" s="98"/>
      <c r="O29" s="92"/>
      <c r="P29" s="93" t="s">
        <v>259</v>
      </c>
    </row>
    <row r="30" spans="1:16" s="93" customFormat="1" ht="11.25">
      <c r="A30" s="336" t="s">
        <v>291</v>
      </c>
      <c r="B30" s="337" t="s">
        <v>292</v>
      </c>
      <c r="C30" s="233">
        <f>+'Altri profili_2024_'!E30</f>
        <v>19</v>
      </c>
      <c r="D30" s="234">
        <f>+'Altri profili_2024_'!F30</f>
        <v>817</v>
      </c>
      <c r="E30" s="234">
        <f>+'Altri profili_2025_'!E30</f>
        <v>19</v>
      </c>
      <c r="F30" s="234">
        <f>+'Altri profili_2025_'!F30</f>
        <v>817</v>
      </c>
      <c r="G30" s="234">
        <f>+'Altri profili_2026'!E30</f>
        <v>19</v>
      </c>
      <c r="H30" s="100">
        <f>+'Altri profili_2026'!F30</f>
        <v>817</v>
      </c>
      <c r="I30" s="300">
        <f>+'Altri profili_2024_'!G30</f>
        <v>0</v>
      </c>
      <c r="J30" s="233">
        <f>+'Altri profili_2024_'!H30+'Altri profili_2025_'!G30+'Altri profili_2026'!G30</f>
        <v>0</v>
      </c>
      <c r="K30" s="234">
        <f>+'Altri profili_2024_'!I30+'Altri profili_2025_'!H30+'Altri profili_2026'!H30</f>
        <v>0</v>
      </c>
      <c r="L30" s="100">
        <f>+'Altri profili_2024_'!J30+'Altri profili_2025_'!I30+'Altri profili_2026'!I30</f>
        <v>0</v>
      </c>
      <c r="M30" s="104"/>
      <c r="N30" s="98"/>
      <c r="O30" s="92"/>
      <c r="P30" s="93" t="s">
        <v>259</v>
      </c>
    </row>
    <row r="31" spans="1:16" s="93" customFormat="1" ht="11.25">
      <c r="A31" s="336" t="s">
        <v>293</v>
      </c>
      <c r="B31" s="337" t="s">
        <v>294</v>
      </c>
      <c r="C31" s="233">
        <f>+'Altri profili_2024_'!E31</f>
        <v>8</v>
      </c>
      <c r="D31" s="234">
        <f>+'Altri profili_2024_'!F31</f>
        <v>344</v>
      </c>
      <c r="E31" s="234">
        <f>+'Altri profili_2025_'!E31</f>
        <v>8</v>
      </c>
      <c r="F31" s="234">
        <f>+'Altri profili_2025_'!F31</f>
        <v>344</v>
      </c>
      <c r="G31" s="234">
        <f>+'Altri profili_2026'!E31</f>
        <v>8</v>
      </c>
      <c r="H31" s="100">
        <f>+'Altri profili_2026'!F31</f>
        <v>344</v>
      </c>
      <c r="I31" s="300">
        <f>+'Altri profili_2024_'!G31</f>
        <v>0</v>
      </c>
      <c r="J31" s="233">
        <f>+'Altri profili_2024_'!H31+'Altri profili_2025_'!G31+'Altri profili_2026'!G31</f>
        <v>0</v>
      </c>
      <c r="K31" s="234">
        <f>+'Altri profili_2024_'!I31+'Altri profili_2025_'!H31+'Altri profili_2026'!H31</f>
        <v>0</v>
      </c>
      <c r="L31" s="100">
        <f>+'Altri profili_2024_'!J31+'Altri profili_2025_'!I31+'Altri profili_2026'!I31</f>
        <v>0</v>
      </c>
      <c r="M31" s="104"/>
      <c r="N31" s="98"/>
      <c r="O31" s="92"/>
      <c r="P31" s="93" t="s">
        <v>259</v>
      </c>
    </row>
    <row r="32" spans="1:16" s="93" customFormat="1" ht="11.25">
      <c r="A32" s="336" t="s">
        <v>295</v>
      </c>
      <c r="B32" s="337" t="s">
        <v>296</v>
      </c>
      <c r="C32" s="233">
        <f>+'Altri profili_2024_'!E32</f>
        <v>100</v>
      </c>
      <c r="D32" s="234">
        <f>+'Altri profili_2024_'!F32</f>
        <v>4200</v>
      </c>
      <c r="E32" s="234">
        <f>+'Altri profili_2025_'!E32</f>
        <v>100</v>
      </c>
      <c r="F32" s="234">
        <f>+'Altri profili_2025_'!F32</f>
        <v>4200</v>
      </c>
      <c r="G32" s="234">
        <f>+'Altri profili_2026'!E32</f>
        <v>100</v>
      </c>
      <c r="H32" s="100">
        <f>+'Altri profili_2026'!F32</f>
        <v>4200</v>
      </c>
      <c r="I32" s="300">
        <f>+'Altri profili_2024_'!G32</f>
        <v>0</v>
      </c>
      <c r="J32" s="233">
        <f>+'Altri profili_2024_'!H32+'Altri profili_2025_'!G32+'Altri profili_2026'!G32</f>
        <v>0</v>
      </c>
      <c r="K32" s="234">
        <f>+'Altri profili_2024_'!I32+'Altri profili_2025_'!H32+'Altri profili_2026'!H32</f>
        <v>0</v>
      </c>
      <c r="L32" s="100">
        <f>+'Altri profili_2024_'!J32+'Altri profili_2025_'!I32+'Altri profili_2026'!I32</f>
        <v>0</v>
      </c>
      <c r="M32" s="104"/>
      <c r="N32" s="98"/>
      <c r="O32" s="92"/>
      <c r="P32" s="93" t="s">
        <v>259</v>
      </c>
    </row>
    <row r="33" spans="1:16" s="93" customFormat="1" ht="11.25">
      <c r="A33" s="336" t="s">
        <v>297</v>
      </c>
      <c r="B33" s="337" t="s">
        <v>298</v>
      </c>
      <c r="C33" s="233">
        <f>+'Altri profili_2024_'!E33</f>
        <v>80</v>
      </c>
      <c r="D33" s="234">
        <f>+'Altri profili_2024_'!F33</f>
        <v>3360</v>
      </c>
      <c r="E33" s="234">
        <f>+'Altri profili_2025_'!E33</f>
        <v>80</v>
      </c>
      <c r="F33" s="234">
        <f>+'Altri profili_2025_'!F33</f>
        <v>3360</v>
      </c>
      <c r="G33" s="234">
        <f>+'Altri profili_2026'!E33</f>
        <v>80</v>
      </c>
      <c r="H33" s="100">
        <f>+'Altri profili_2026'!F33</f>
        <v>3360</v>
      </c>
      <c r="I33" s="300">
        <f>+'Altri profili_2024_'!G33</f>
        <v>0</v>
      </c>
      <c r="J33" s="233">
        <f>+'Altri profili_2024_'!H33+'Altri profili_2025_'!G33+'Altri profili_2026'!G33</f>
        <v>0</v>
      </c>
      <c r="K33" s="234">
        <f>+'Altri profili_2024_'!I33+'Altri profili_2025_'!H33+'Altri profili_2026'!H33</f>
        <v>0</v>
      </c>
      <c r="L33" s="100">
        <f>+'Altri profili_2024_'!J33+'Altri profili_2025_'!I33+'Altri profili_2026'!I33</f>
        <v>0</v>
      </c>
      <c r="M33" s="104"/>
      <c r="N33" s="98"/>
      <c r="O33" s="92"/>
      <c r="P33" s="93" t="s">
        <v>259</v>
      </c>
    </row>
    <row r="34" spans="1:16" s="93" customFormat="1" ht="11.25">
      <c r="A34" s="336" t="s">
        <v>299</v>
      </c>
      <c r="B34" s="337" t="s">
        <v>300</v>
      </c>
      <c r="C34" s="233">
        <f>+'Altri profili_2024_'!E34</f>
        <v>10</v>
      </c>
      <c r="D34" s="234">
        <f>+'Altri profili_2024_'!F34</f>
        <v>420</v>
      </c>
      <c r="E34" s="234">
        <f>+'Altri profili_2025_'!E34</f>
        <v>10</v>
      </c>
      <c r="F34" s="234">
        <f>+'Altri profili_2025_'!F34</f>
        <v>420</v>
      </c>
      <c r="G34" s="234">
        <f>+'Altri profili_2026'!E34</f>
        <v>10</v>
      </c>
      <c r="H34" s="100">
        <f>+'Altri profili_2026'!F34</f>
        <v>420</v>
      </c>
      <c r="I34" s="300">
        <f>+'Altri profili_2024_'!G34</f>
        <v>0</v>
      </c>
      <c r="J34" s="233">
        <f>+'Altri profili_2024_'!H34+'Altri profili_2025_'!G34+'Altri profili_2026'!G34</f>
        <v>0</v>
      </c>
      <c r="K34" s="234">
        <f>+'Altri profili_2024_'!I34+'Altri profili_2025_'!H34+'Altri profili_2026'!H34</f>
        <v>0</v>
      </c>
      <c r="L34" s="100">
        <f>+'Altri profili_2024_'!J34+'Altri profili_2025_'!I34+'Altri profili_2026'!I34</f>
        <v>0</v>
      </c>
      <c r="M34" s="104"/>
      <c r="N34" s="98"/>
      <c r="O34" s="92"/>
      <c r="P34" s="93" t="s">
        <v>259</v>
      </c>
    </row>
    <row r="35" spans="1:16" s="93" customFormat="1" ht="11.25">
      <c r="A35" s="336" t="s">
        <v>301</v>
      </c>
      <c r="B35" s="337" t="s">
        <v>302</v>
      </c>
      <c r="C35" s="233">
        <f>+'Altri profili_2024_'!E35</f>
        <v>1</v>
      </c>
      <c r="D35" s="234">
        <f>+'Altri profili_2024_'!F35</f>
        <v>42</v>
      </c>
      <c r="E35" s="234">
        <f>+'Altri profili_2025_'!E35</f>
        <v>1</v>
      </c>
      <c r="F35" s="234">
        <f>+'Altri profili_2025_'!F35</f>
        <v>42</v>
      </c>
      <c r="G35" s="234">
        <f>+'Altri profili_2026'!E35</f>
        <v>1</v>
      </c>
      <c r="H35" s="100">
        <f>+'Altri profili_2026'!F35</f>
        <v>42</v>
      </c>
      <c r="I35" s="300">
        <f>+'Altri profili_2024_'!G35</f>
        <v>0</v>
      </c>
      <c r="J35" s="233">
        <f>+'Altri profili_2024_'!H35+'Altri profili_2025_'!G35+'Altri profili_2026'!G35</f>
        <v>0</v>
      </c>
      <c r="K35" s="234">
        <f>+'Altri profili_2024_'!I35+'Altri profili_2025_'!H35+'Altri profili_2026'!H35</f>
        <v>0</v>
      </c>
      <c r="L35" s="100">
        <f>+'Altri profili_2024_'!J35+'Altri profili_2025_'!I35+'Altri profili_2026'!I35</f>
        <v>0</v>
      </c>
      <c r="M35" s="104"/>
      <c r="N35" s="98"/>
      <c r="O35" s="92"/>
      <c r="P35" s="93" t="s">
        <v>259</v>
      </c>
    </row>
    <row r="36" spans="1:16" s="93" customFormat="1" ht="11.25">
      <c r="A36" s="336" t="s">
        <v>303</v>
      </c>
      <c r="B36" s="337" t="s">
        <v>304</v>
      </c>
      <c r="C36" s="233">
        <f>+'Altri profili_2024_'!E36</f>
        <v>0</v>
      </c>
      <c r="D36" s="234">
        <f>+'Altri profili_2024_'!F36</f>
        <v>0</v>
      </c>
      <c r="E36" s="234">
        <f>+'Altri profili_2025_'!E36</f>
        <v>0</v>
      </c>
      <c r="F36" s="234">
        <f>+'Altri profili_2025_'!F36</f>
        <v>0</v>
      </c>
      <c r="G36" s="234">
        <f>+'Altri profili_2026'!E36</f>
        <v>0</v>
      </c>
      <c r="H36" s="100">
        <f>+'Altri profili_2026'!F36</f>
        <v>0</v>
      </c>
      <c r="I36" s="300">
        <f>+'Altri profili_2024_'!G36</f>
        <v>0</v>
      </c>
      <c r="J36" s="233">
        <f>+'Altri profili_2024_'!H36+'Altri profili_2025_'!G36+'Altri profili_2026'!G36</f>
        <v>0</v>
      </c>
      <c r="K36" s="234">
        <f>+'Altri profili_2024_'!I36+'Altri profili_2025_'!H36+'Altri profili_2026'!H36</f>
        <v>0</v>
      </c>
      <c r="L36" s="100">
        <f>+'Altri profili_2024_'!J36+'Altri profili_2025_'!I36+'Altri profili_2026'!I36</f>
        <v>0</v>
      </c>
      <c r="M36" s="104"/>
      <c r="N36" s="98"/>
      <c r="O36" s="92"/>
      <c r="P36" s="93" t="s">
        <v>259</v>
      </c>
    </row>
    <row r="37" spans="1:16" s="93" customFormat="1" ht="11.25">
      <c r="A37" s="336" t="s">
        <v>305</v>
      </c>
      <c r="B37" s="337" t="s">
        <v>306</v>
      </c>
      <c r="C37" s="233">
        <f>+'Altri profili_2024_'!E37</f>
        <v>0</v>
      </c>
      <c r="D37" s="234">
        <f>+'Altri profili_2024_'!F37</f>
        <v>0</v>
      </c>
      <c r="E37" s="234">
        <f>+'Altri profili_2025_'!E37</f>
        <v>0</v>
      </c>
      <c r="F37" s="234">
        <f>+'Altri profili_2025_'!F37</f>
        <v>0</v>
      </c>
      <c r="G37" s="234">
        <f>+'Altri profili_2026'!E37</f>
        <v>0</v>
      </c>
      <c r="H37" s="100">
        <f>+'Altri profili_2026'!F37</f>
        <v>0</v>
      </c>
      <c r="I37" s="300">
        <f>+'Altri profili_2024_'!G37</f>
        <v>0</v>
      </c>
      <c r="J37" s="233">
        <f>+'Altri profili_2024_'!H37+'Altri profili_2025_'!G37+'Altri profili_2026'!G37</f>
        <v>0</v>
      </c>
      <c r="K37" s="234">
        <f>+'Altri profili_2024_'!I37+'Altri profili_2025_'!H37+'Altri profili_2026'!H37</f>
        <v>0</v>
      </c>
      <c r="L37" s="100">
        <f>+'Altri profili_2024_'!J37+'Altri profili_2025_'!I37+'Altri profili_2026'!I37</f>
        <v>0</v>
      </c>
      <c r="M37" s="104"/>
      <c r="N37" s="98"/>
      <c r="O37" s="92"/>
      <c r="P37" s="93" t="s">
        <v>259</v>
      </c>
    </row>
    <row r="38" spans="1:16" s="93" customFormat="1" ht="11.25">
      <c r="A38" s="336" t="s">
        <v>307</v>
      </c>
      <c r="B38" s="337" t="s">
        <v>308</v>
      </c>
      <c r="C38" s="233">
        <f>+'Altri profili_2024_'!E38</f>
        <v>4</v>
      </c>
      <c r="D38" s="234">
        <f>+'Altri profili_2024_'!F38</f>
        <v>152</v>
      </c>
      <c r="E38" s="234">
        <f>+'Altri profili_2025_'!E38</f>
        <v>4</v>
      </c>
      <c r="F38" s="234">
        <f>+'Altri profili_2025_'!F38</f>
        <v>152</v>
      </c>
      <c r="G38" s="234">
        <f>+'Altri profili_2026'!E38</f>
        <v>4</v>
      </c>
      <c r="H38" s="100">
        <f>+'Altri profili_2026'!F38</f>
        <v>152</v>
      </c>
      <c r="I38" s="300">
        <f>+'Altri profili_2024_'!G38</f>
        <v>0</v>
      </c>
      <c r="J38" s="233">
        <f>+'Altri profili_2024_'!H38+'Altri profili_2025_'!G38+'Altri profili_2026'!G38</f>
        <v>0</v>
      </c>
      <c r="K38" s="234">
        <f>+'Altri profili_2024_'!I38+'Altri profili_2025_'!H38+'Altri profili_2026'!H38</f>
        <v>0</v>
      </c>
      <c r="L38" s="100">
        <f>+'Altri profili_2024_'!J38+'Altri profili_2025_'!I38+'Altri profili_2026'!I38</f>
        <v>0</v>
      </c>
      <c r="M38" s="104"/>
      <c r="N38" s="98"/>
      <c r="O38" s="92"/>
      <c r="P38" s="93" t="s">
        <v>259</v>
      </c>
    </row>
    <row r="39" spans="1:16" s="93" customFormat="1" ht="11.25">
      <c r="A39" s="336" t="s">
        <v>309</v>
      </c>
      <c r="B39" s="337" t="s">
        <v>310</v>
      </c>
      <c r="C39" s="233">
        <f>+'Altri profili_2024_'!E39</f>
        <v>3</v>
      </c>
      <c r="D39" s="234">
        <f>+'Altri profili_2024_'!F39</f>
        <v>126</v>
      </c>
      <c r="E39" s="234">
        <f>+'Altri profili_2025_'!E39</f>
        <v>3</v>
      </c>
      <c r="F39" s="234">
        <f>+'Altri profili_2025_'!F39</f>
        <v>126</v>
      </c>
      <c r="G39" s="234">
        <f>+'Altri profili_2026'!E39</f>
        <v>4</v>
      </c>
      <c r="H39" s="100">
        <f>+'Altri profili_2026'!F39</f>
        <v>168</v>
      </c>
      <c r="I39" s="300">
        <f>+'Altri profili_2024_'!G39</f>
        <v>0</v>
      </c>
      <c r="J39" s="233">
        <f>+'Altri profili_2024_'!H39+'Altri profili_2025_'!G39+'Altri profili_2026'!G39</f>
        <v>2</v>
      </c>
      <c r="K39" s="234">
        <f>+'Altri profili_2024_'!I39+'Altri profili_2025_'!H39+'Altri profili_2026'!H39</f>
        <v>0</v>
      </c>
      <c r="L39" s="100">
        <f>+'Altri profili_2024_'!J39+'Altri profili_2025_'!I39+'Altri profili_2026'!I39</f>
        <v>2</v>
      </c>
      <c r="M39" s="104"/>
      <c r="N39" s="98"/>
      <c r="O39" s="92"/>
      <c r="P39" s="93" t="s">
        <v>259</v>
      </c>
    </row>
    <row r="40" spans="1:16" s="93" customFormat="1" ht="11.25">
      <c r="A40" s="336" t="s">
        <v>311</v>
      </c>
      <c r="B40" s="337" t="s">
        <v>312</v>
      </c>
      <c r="C40" s="233">
        <f>+'Altri profili_2024_'!E40</f>
        <v>6</v>
      </c>
      <c r="D40" s="234">
        <f>+'Altri profili_2024_'!F40</f>
        <v>252</v>
      </c>
      <c r="E40" s="234">
        <f>+'Altri profili_2025_'!E40</f>
        <v>6</v>
      </c>
      <c r="F40" s="234">
        <f>+'Altri profili_2025_'!F40</f>
        <v>252</v>
      </c>
      <c r="G40" s="234">
        <f>+'Altri profili_2026'!E40</f>
        <v>6</v>
      </c>
      <c r="H40" s="100">
        <f>+'Altri profili_2026'!F40</f>
        <v>252</v>
      </c>
      <c r="I40" s="300">
        <f>+'Altri profili_2024_'!G40</f>
        <v>0</v>
      </c>
      <c r="J40" s="233">
        <f>+'Altri profili_2024_'!H40+'Altri profili_2025_'!G40+'Altri profili_2026'!G40</f>
        <v>0</v>
      </c>
      <c r="K40" s="234">
        <f>+'Altri profili_2024_'!I40+'Altri profili_2025_'!H40+'Altri profili_2026'!H40</f>
        <v>0</v>
      </c>
      <c r="L40" s="100">
        <f>+'Altri profili_2024_'!J40+'Altri profili_2025_'!I40+'Altri profili_2026'!I40</f>
        <v>0</v>
      </c>
      <c r="M40" s="104"/>
      <c r="N40" s="98"/>
      <c r="O40" s="92"/>
      <c r="P40" s="93" t="s">
        <v>313</v>
      </c>
    </row>
    <row r="41" spans="1:16" s="93" customFormat="1" ht="11.25">
      <c r="A41" s="336" t="s">
        <v>314</v>
      </c>
      <c r="B41" s="337" t="s">
        <v>315</v>
      </c>
      <c r="C41" s="233">
        <f>+'Altri profili_2024_'!E41</f>
        <v>1</v>
      </c>
      <c r="D41" s="234">
        <f>+'Altri profili_2024_'!F41</f>
        <v>100</v>
      </c>
      <c r="E41" s="234">
        <f>+'Altri profili_2025_'!E41</f>
        <v>1</v>
      </c>
      <c r="F41" s="234">
        <f>+'Altri profili_2025_'!F41</f>
        <v>100</v>
      </c>
      <c r="G41" s="234">
        <f>+'Altri profili_2026'!E41</f>
        <v>2</v>
      </c>
      <c r="H41" s="100">
        <f>+'Altri profili_2026'!F41</f>
        <v>200</v>
      </c>
      <c r="I41" s="300">
        <f>+'Altri profili_2024_'!G41</f>
        <v>0</v>
      </c>
      <c r="J41" s="233">
        <f>+'Altri profili_2024_'!H41+'Altri profili_2025_'!G41+'Altri profili_2026'!G41</f>
        <v>2</v>
      </c>
      <c r="K41" s="234">
        <f>+'Altri profili_2024_'!I41+'Altri profili_2025_'!H41+'Altri profili_2026'!H41</f>
        <v>2</v>
      </c>
      <c r="L41" s="100">
        <f>+'Altri profili_2024_'!J41+'Altri profili_2025_'!I41+'Altri profili_2026'!I41</f>
        <v>0</v>
      </c>
      <c r="M41" s="104"/>
      <c r="N41" s="98"/>
      <c r="O41" s="92"/>
      <c r="P41" s="93" t="s">
        <v>316</v>
      </c>
    </row>
    <row r="42" spans="1:16" s="93" customFormat="1" ht="11.25">
      <c r="A42" s="336" t="s">
        <v>317</v>
      </c>
      <c r="B42" s="337" t="s">
        <v>318</v>
      </c>
      <c r="C42" s="233">
        <f>+'Altri profili_2024_'!E42</f>
        <v>0</v>
      </c>
      <c r="D42" s="234">
        <f>+'Altri profili_2024_'!F42</f>
        <v>0</v>
      </c>
      <c r="E42" s="234">
        <f>+'Altri profili_2025_'!E42</f>
        <v>0</v>
      </c>
      <c r="F42" s="234">
        <f>+'Altri profili_2025_'!F42</f>
        <v>0</v>
      </c>
      <c r="G42" s="234">
        <f>+'Altri profili_2026'!E42</f>
        <v>0</v>
      </c>
      <c r="H42" s="100">
        <f>+'Altri profili_2026'!F42</f>
        <v>0</v>
      </c>
      <c r="I42" s="300">
        <f>+'Altri profili_2024_'!G42</f>
        <v>0</v>
      </c>
      <c r="J42" s="233">
        <f>+'Altri profili_2024_'!H42+'Altri profili_2025_'!G42+'Altri profili_2026'!G42</f>
        <v>0</v>
      </c>
      <c r="K42" s="234">
        <f>+'Altri profili_2024_'!I42+'Altri profili_2025_'!H42+'Altri profili_2026'!H42</f>
        <v>0</v>
      </c>
      <c r="L42" s="100">
        <f>+'Altri profili_2024_'!J42+'Altri profili_2025_'!I42+'Altri profili_2026'!I42</f>
        <v>0</v>
      </c>
      <c r="M42" s="104"/>
      <c r="N42" s="98"/>
      <c r="O42" s="92"/>
      <c r="P42" s="93" t="s">
        <v>316</v>
      </c>
    </row>
    <row r="43" spans="1:16" s="93" customFormat="1" ht="11.25">
      <c r="A43" s="336" t="s">
        <v>319</v>
      </c>
      <c r="B43" s="337" t="s">
        <v>320</v>
      </c>
      <c r="C43" s="233">
        <f>+'Altri profili_2024_'!E43</f>
        <v>0</v>
      </c>
      <c r="D43" s="234">
        <f>+'Altri profili_2024_'!F43</f>
        <v>0</v>
      </c>
      <c r="E43" s="234">
        <f>+'Altri profili_2025_'!E43</f>
        <v>0</v>
      </c>
      <c r="F43" s="234">
        <f>+'Altri profili_2025_'!F43</f>
        <v>0</v>
      </c>
      <c r="G43" s="234">
        <f>+'Altri profili_2026'!E43</f>
        <v>0</v>
      </c>
      <c r="H43" s="100">
        <f>+'Altri profili_2026'!F43</f>
        <v>0</v>
      </c>
      <c r="I43" s="300">
        <f>+'Altri profili_2024_'!G43</f>
        <v>0</v>
      </c>
      <c r="J43" s="233">
        <f>+'Altri profili_2024_'!H43+'Altri profili_2025_'!G43+'Altri profili_2026'!G43</f>
        <v>0</v>
      </c>
      <c r="K43" s="234">
        <f>+'Altri profili_2024_'!I43+'Altri profili_2025_'!H43+'Altri profili_2026'!H43</f>
        <v>0</v>
      </c>
      <c r="L43" s="100">
        <f>+'Altri profili_2024_'!J43+'Altri profili_2025_'!I43+'Altri profili_2026'!I43</f>
        <v>0</v>
      </c>
      <c r="M43" s="104"/>
      <c r="N43" s="98"/>
      <c r="O43" s="92"/>
      <c r="P43" s="93" t="s">
        <v>316</v>
      </c>
    </row>
    <row r="44" spans="1:16" s="93" customFormat="1" ht="11.25">
      <c r="A44" s="336" t="s">
        <v>321</v>
      </c>
      <c r="B44" s="337" t="s">
        <v>322</v>
      </c>
      <c r="C44" s="233">
        <f>+'Altri profili_2024_'!E44</f>
        <v>0</v>
      </c>
      <c r="D44" s="234">
        <f>+'Altri profili_2024_'!F44</f>
        <v>0</v>
      </c>
      <c r="E44" s="234">
        <f>+'Altri profili_2025_'!E44</f>
        <v>0</v>
      </c>
      <c r="F44" s="234">
        <f>+'Altri profili_2025_'!F44</f>
        <v>0</v>
      </c>
      <c r="G44" s="234">
        <f>+'Altri profili_2026'!E44</f>
        <v>0</v>
      </c>
      <c r="H44" s="100">
        <f>+'Altri profili_2026'!F44</f>
        <v>0</v>
      </c>
      <c r="I44" s="300">
        <f>+'Altri profili_2024_'!G44</f>
        <v>0</v>
      </c>
      <c r="J44" s="233">
        <f>+'Altri profili_2024_'!H44+'Altri profili_2025_'!G44+'Altri profili_2026'!G44</f>
        <v>0</v>
      </c>
      <c r="K44" s="234">
        <f>+'Altri profili_2024_'!I44+'Altri profili_2025_'!H44+'Altri profili_2026'!H44</f>
        <v>0</v>
      </c>
      <c r="L44" s="100">
        <f>+'Altri profili_2024_'!J44+'Altri profili_2025_'!I44+'Altri profili_2026'!I44</f>
        <v>0</v>
      </c>
      <c r="M44" s="104"/>
      <c r="N44" s="98"/>
      <c r="O44" s="92"/>
      <c r="P44" s="93" t="s">
        <v>316</v>
      </c>
    </row>
    <row r="45" spans="1:16" s="93" customFormat="1" ht="11.25">
      <c r="A45" s="336" t="s">
        <v>323</v>
      </c>
      <c r="B45" s="337" t="s">
        <v>324</v>
      </c>
      <c r="C45" s="233">
        <f>+'Altri profili_2024_'!E45</f>
        <v>18</v>
      </c>
      <c r="D45" s="234">
        <f>+'Altri profili_2024_'!F45</f>
        <v>630</v>
      </c>
      <c r="E45" s="234">
        <f>+'Altri profili_2025_'!E45</f>
        <v>20</v>
      </c>
      <c r="F45" s="234">
        <f>+'Altri profili_2025_'!F45</f>
        <v>700</v>
      </c>
      <c r="G45" s="234">
        <f>+'Altri profili_2026'!E45</f>
        <v>20</v>
      </c>
      <c r="H45" s="100">
        <f>+'Altri profili_2026'!F45</f>
        <v>700</v>
      </c>
      <c r="I45" s="300">
        <f>+'Altri profili_2024_'!G45</f>
        <v>0</v>
      </c>
      <c r="J45" s="233">
        <f>+'Altri profili_2024_'!H45+'Altri profili_2025_'!G45+'Altri profili_2026'!G45</f>
        <v>2</v>
      </c>
      <c r="K45" s="234">
        <f>+'Altri profili_2024_'!I45+'Altri profili_2025_'!H45+'Altri profili_2026'!H45</f>
        <v>0</v>
      </c>
      <c r="L45" s="100">
        <f>+'Altri profili_2024_'!J45+'Altri profili_2025_'!I45+'Altri profili_2026'!I45</f>
        <v>2</v>
      </c>
      <c r="M45" s="104"/>
      <c r="N45" s="98"/>
      <c r="O45" s="92"/>
      <c r="P45" s="93" t="s">
        <v>313</v>
      </c>
    </row>
    <row r="46" spans="1:16" s="93" customFormat="1" ht="11.25">
      <c r="A46" s="336" t="s">
        <v>325</v>
      </c>
      <c r="B46" s="337" t="s">
        <v>326</v>
      </c>
      <c r="C46" s="233">
        <f>+'Altri profili_2024_'!E46</f>
        <v>0</v>
      </c>
      <c r="D46" s="234">
        <f>+'Altri profili_2024_'!F46</f>
        <v>0</v>
      </c>
      <c r="E46" s="234">
        <f>+'Altri profili_2025_'!E46</f>
        <v>0</v>
      </c>
      <c r="F46" s="234">
        <f>+'Altri profili_2025_'!F46</f>
        <v>0</v>
      </c>
      <c r="G46" s="234">
        <f>+'Altri profili_2026'!E46</f>
        <v>0</v>
      </c>
      <c r="H46" s="100">
        <f>+'Altri profili_2026'!F46</f>
        <v>0</v>
      </c>
      <c r="I46" s="300">
        <f>+'Altri profili_2024_'!G46</f>
        <v>0</v>
      </c>
      <c r="J46" s="233">
        <f>+'Altri profili_2024_'!H46+'Altri profili_2025_'!G46+'Altri profili_2026'!G46</f>
        <v>0</v>
      </c>
      <c r="K46" s="234">
        <f>+'Altri profili_2024_'!I46+'Altri profili_2025_'!H46+'Altri profili_2026'!H46</f>
        <v>0</v>
      </c>
      <c r="L46" s="100">
        <f>+'Altri profili_2024_'!J46+'Altri profili_2025_'!I46+'Altri profili_2026'!I46</f>
        <v>0</v>
      </c>
      <c r="M46" s="104"/>
      <c r="N46" s="98"/>
      <c r="O46" s="92"/>
      <c r="P46" s="93" t="s">
        <v>313</v>
      </c>
    </row>
    <row r="47" spans="1:16" s="93" customFormat="1" ht="11.25">
      <c r="A47" s="336" t="s">
        <v>327</v>
      </c>
      <c r="B47" s="337" t="s">
        <v>328</v>
      </c>
      <c r="C47" s="233">
        <f>+'Altri profili_2024_'!E47</f>
        <v>11</v>
      </c>
      <c r="D47" s="234">
        <f>+'Altri profili_2024_'!F47</f>
        <v>440</v>
      </c>
      <c r="E47" s="234">
        <f>+'Altri profili_2025_'!E47</f>
        <v>12</v>
      </c>
      <c r="F47" s="234">
        <f>+'Altri profili_2025_'!F47</f>
        <v>480</v>
      </c>
      <c r="G47" s="234">
        <f>+'Altri profili_2026'!E47</f>
        <v>12</v>
      </c>
      <c r="H47" s="100">
        <f>+'Altri profili_2026'!F47</f>
        <v>480</v>
      </c>
      <c r="I47" s="300">
        <f>+'Altri profili_2024_'!G47</f>
        <v>0</v>
      </c>
      <c r="J47" s="233">
        <f>+'Altri profili_2024_'!H47+'Altri profili_2025_'!G47+'Altri profili_2026'!G47</f>
        <v>1</v>
      </c>
      <c r="K47" s="234">
        <f>+'Altri profili_2024_'!I47+'Altri profili_2025_'!H47+'Altri profili_2026'!H47</f>
        <v>0</v>
      </c>
      <c r="L47" s="100">
        <f>+'Altri profili_2024_'!J47+'Altri profili_2025_'!I47+'Altri profili_2026'!I47</f>
        <v>1</v>
      </c>
      <c r="M47" s="104"/>
      <c r="N47" s="98"/>
      <c r="O47" s="92"/>
      <c r="P47" s="93" t="s">
        <v>313</v>
      </c>
    </row>
    <row r="48" spans="1:16" s="93" customFormat="1" ht="11.25">
      <c r="A48" s="336" t="s">
        <v>329</v>
      </c>
      <c r="B48" s="337" t="s">
        <v>330</v>
      </c>
      <c r="C48" s="233">
        <f>+'Altri profili_2024_'!E48</f>
        <v>61</v>
      </c>
      <c r="D48" s="234">
        <f>+'Altri profili_2024_'!F48</f>
        <v>2135</v>
      </c>
      <c r="E48" s="234">
        <f>+'Altri profili_2025_'!E48</f>
        <v>71</v>
      </c>
      <c r="F48" s="234">
        <f>+'Altri profili_2025_'!F48</f>
        <v>2485</v>
      </c>
      <c r="G48" s="234">
        <f>+'Altri profili_2026'!E48</f>
        <v>80</v>
      </c>
      <c r="H48" s="100">
        <f>+'Altri profili_2026'!F48</f>
        <v>2800</v>
      </c>
      <c r="I48" s="300">
        <f>+'Altri profili_2024_'!G48</f>
        <v>0</v>
      </c>
      <c r="J48" s="233">
        <f>+'Altri profili_2024_'!H48+'Altri profili_2025_'!G48+'Altri profili_2026'!G48</f>
        <v>28</v>
      </c>
      <c r="K48" s="234">
        <f>+'Altri profili_2024_'!I48+'Altri profili_2025_'!H48+'Altri profili_2026'!H48</f>
        <v>0</v>
      </c>
      <c r="L48" s="100">
        <f>+'Altri profili_2024_'!J48+'Altri profili_2025_'!I48+'Altri profili_2026'!I48</f>
        <v>28</v>
      </c>
      <c r="M48" s="104"/>
      <c r="N48" s="98"/>
      <c r="O48" s="92"/>
      <c r="P48" s="93" t="s">
        <v>313</v>
      </c>
    </row>
    <row r="49" spans="1:16" s="93" customFormat="1" ht="11.25">
      <c r="A49" s="336" t="s">
        <v>331</v>
      </c>
      <c r="B49" s="337" t="s">
        <v>332</v>
      </c>
      <c r="C49" s="233">
        <f>+'Altri profili_2024_'!E49</f>
        <v>0</v>
      </c>
      <c r="D49" s="234">
        <f>+'Altri profili_2024_'!F49</f>
        <v>0</v>
      </c>
      <c r="E49" s="234">
        <f>+'Altri profili_2025_'!E49</f>
        <v>0</v>
      </c>
      <c r="F49" s="234">
        <f>+'Altri profili_2025_'!F49</f>
        <v>0</v>
      </c>
      <c r="G49" s="234">
        <f>+'Altri profili_2026'!E49</f>
        <v>0</v>
      </c>
      <c r="H49" s="100">
        <f>+'Altri profili_2026'!F49</f>
        <v>0</v>
      </c>
      <c r="I49" s="300">
        <f>+'Altri profili_2024_'!G49</f>
        <v>0</v>
      </c>
      <c r="J49" s="233">
        <f>+'Altri profili_2024_'!H49+'Altri profili_2025_'!G49+'Altri profili_2026'!G49</f>
        <v>0</v>
      </c>
      <c r="K49" s="234">
        <f>+'Altri profili_2024_'!I49+'Altri profili_2025_'!H49+'Altri profili_2026'!H49</f>
        <v>0</v>
      </c>
      <c r="L49" s="100">
        <f>+'Altri profili_2024_'!J49+'Altri profili_2025_'!I49+'Altri profili_2026'!I49</f>
        <v>0</v>
      </c>
      <c r="M49" s="104"/>
      <c r="N49" s="98"/>
      <c r="O49" s="92"/>
      <c r="P49" s="93" t="s">
        <v>313</v>
      </c>
    </row>
    <row r="50" spans="1:16" s="93" customFormat="1" ht="11.25">
      <c r="A50" s="336" t="s">
        <v>333</v>
      </c>
      <c r="B50" s="337" t="s">
        <v>334</v>
      </c>
      <c r="C50" s="233">
        <f>+'Altri profili_2024_'!E50</f>
        <v>0</v>
      </c>
      <c r="D50" s="234">
        <f>+'Altri profili_2024_'!F50</f>
        <v>0</v>
      </c>
      <c r="E50" s="234">
        <f>+'Altri profili_2025_'!E50</f>
        <v>0</v>
      </c>
      <c r="F50" s="234">
        <f>+'Altri profili_2025_'!F50</f>
        <v>0</v>
      </c>
      <c r="G50" s="234">
        <f>+'Altri profili_2026'!E50</f>
        <v>0</v>
      </c>
      <c r="H50" s="100">
        <f>+'Altri profili_2026'!F50</f>
        <v>0</v>
      </c>
      <c r="I50" s="300">
        <f>+'Altri profili_2024_'!G50</f>
        <v>0</v>
      </c>
      <c r="J50" s="233">
        <f>+'Altri profili_2024_'!H50+'Altri profili_2025_'!G50+'Altri profili_2026'!G50</f>
        <v>0</v>
      </c>
      <c r="K50" s="234">
        <f>+'Altri profili_2024_'!I50+'Altri profili_2025_'!H50+'Altri profili_2026'!H50</f>
        <v>0</v>
      </c>
      <c r="L50" s="100">
        <f>+'Altri profili_2024_'!J50+'Altri profili_2025_'!I50+'Altri profili_2026'!I50</f>
        <v>0</v>
      </c>
      <c r="M50" s="104"/>
      <c r="N50" s="98"/>
      <c r="O50" s="92"/>
      <c r="P50" s="93" t="s">
        <v>313</v>
      </c>
    </row>
    <row r="51" spans="1:16" s="93" customFormat="1" ht="11.25">
      <c r="A51" s="336" t="s">
        <v>335</v>
      </c>
      <c r="B51" s="337" t="s">
        <v>336</v>
      </c>
      <c r="C51" s="233">
        <f>+'Altri profili_2024_'!E51</f>
        <v>0</v>
      </c>
      <c r="D51" s="234">
        <f>+'Altri profili_2024_'!F51</f>
        <v>0</v>
      </c>
      <c r="E51" s="234">
        <f>+'Altri profili_2025_'!E51</f>
        <v>0</v>
      </c>
      <c r="F51" s="234">
        <f>+'Altri profili_2025_'!F51</f>
        <v>0</v>
      </c>
      <c r="G51" s="234">
        <f>+'Altri profili_2026'!E51</f>
        <v>0</v>
      </c>
      <c r="H51" s="100">
        <f>+'Altri profili_2026'!F51</f>
        <v>0</v>
      </c>
      <c r="I51" s="300">
        <f>+'Altri profili_2024_'!G51</f>
        <v>0</v>
      </c>
      <c r="J51" s="233">
        <f>+'Altri profili_2024_'!H51+'Altri profili_2025_'!G51+'Altri profili_2026'!G51</f>
        <v>0</v>
      </c>
      <c r="K51" s="234">
        <f>+'Altri profili_2024_'!I51+'Altri profili_2025_'!H51+'Altri profili_2026'!H51</f>
        <v>0</v>
      </c>
      <c r="L51" s="100">
        <f>+'Altri profili_2024_'!J51+'Altri profili_2025_'!I51+'Altri profili_2026'!I51</f>
        <v>0</v>
      </c>
      <c r="M51" s="104"/>
      <c r="N51" s="98"/>
      <c r="O51" s="92"/>
      <c r="P51" s="93" t="s">
        <v>337</v>
      </c>
    </row>
    <row r="52" spans="1:16" s="93" customFormat="1" ht="11.25">
      <c r="A52" s="336" t="s">
        <v>338</v>
      </c>
      <c r="B52" s="337" t="s">
        <v>339</v>
      </c>
      <c r="C52" s="233">
        <f>+'Altri profili_2024_'!E52</f>
        <v>0</v>
      </c>
      <c r="D52" s="234">
        <f>+'Altri profili_2024_'!F52</f>
        <v>100</v>
      </c>
      <c r="E52" s="234">
        <f>+'Altri profili_2025_'!E52</f>
        <v>1</v>
      </c>
      <c r="F52" s="234">
        <f>+'Altri profili_2025_'!F52</f>
        <v>100</v>
      </c>
      <c r="G52" s="234">
        <f>+'Altri profili_2026'!E52</f>
        <v>1</v>
      </c>
      <c r="H52" s="100">
        <f>+'Altri profili_2026'!F52</f>
        <v>101</v>
      </c>
      <c r="I52" s="300">
        <f>+'Altri profili_2024_'!G52</f>
        <v>0</v>
      </c>
      <c r="J52" s="233">
        <f>+'Altri profili_2024_'!H52+'Altri profili_2025_'!G52+'Altri profili_2026'!G52</f>
        <v>1</v>
      </c>
      <c r="K52" s="234">
        <f>+'Altri profili_2024_'!I52+'Altri profili_2025_'!H52+'Altri profili_2026'!H52</f>
        <v>0</v>
      </c>
      <c r="L52" s="100">
        <f>+'Altri profili_2024_'!J52+'Altri profili_2025_'!I52+'Altri profili_2026'!I52</f>
        <v>1</v>
      </c>
      <c r="M52" s="104"/>
      <c r="N52" s="98"/>
      <c r="O52" s="92"/>
      <c r="P52" s="93" t="s">
        <v>340</v>
      </c>
    </row>
    <row r="53" spans="1:16" s="93" customFormat="1" ht="11.25">
      <c r="A53" s="336" t="s">
        <v>341</v>
      </c>
      <c r="B53" s="337" t="s">
        <v>342</v>
      </c>
      <c r="C53" s="233">
        <f>+'Altri profili_2024_'!E53</f>
        <v>1</v>
      </c>
      <c r="D53" s="234">
        <f>+'Altri profili_2024_'!F53</f>
        <v>90</v>
      </c>
      <c r="E53" s="234">
        <f>+'Altri profili_2025_'!E53</f>
        <v>7</v>
      </c>
      <c r="F53" s="234">
        <f>+'Altri profili_2025_'!F53</f>
        <v>630</v>
      </c>
      <c r="G53" s="234">
        <f>+'Altri profili_2026'!E53</f>
        <v>7</v>
      </c>
      <c r="H53" s="100">
        <f>+'Altri profili_2026'!F53</f>
        <v>630</v>
      </c>
      <c r="I53" s="300">
        <f>+'Altri profili_2024_'!G53</f>
        <v>0</v>
      </c>
      <c r="J53" s="233">
        <f>+'Altri profili_2024_'!H53+'Altri profili_2025_'!G53+'Altri profili_2026'!G53</f>
        <v>6</v>
      </c>
      <c r="K53" s="234">
        <f>+'Altri profili_2024_'!I53+'Altri profili_2025_'!H53+'Altri profili_2026'!H53</f>
        <v>4</v>
      </c>
      <c r="L53" s="100">
        <f>+'Altri profili_2024_'!J53+'Altri profili_2025_'!I53+'Altri profili_2026'!I53</f>
        <v>2</v>
      </c>
      <c r="M53" s="104"/>
      <c r="N53" s="98"/>
      <c r="O53" s="92"/>
      <c r="P53" s="93" t="s">
        <v>340</v>
      </c>
    </row>
    <row r="54" spans="1:16" s="93" customFormat="1" ht="11.25">
      <c r="A54" s="336" t="s">
        <v>343</v>
      </c>
      <c r="B54" s="337" t="s">
        <v>344</v>
      </c>
      <c r="C54" s="233">
        <f>+'Altri profili_2024_'!E54</f>
        <v>34</v>
      </c>
      <c r="D54" s="234">
        <f>+'Altri profili_2024_'!F54</f>
        <v>3060</v>
      </c>
      <c r="E54" s="234">
        <f>+'Altri profili_2025_'!E54</f>
        <v>34</v>
      </c>
      <c r="F54" s="234">
        <f>+'Altri profili_2025_'!F54</f>
        <v>3060</v>
      </c>
      <c r="G54" s="234">
        <f>+'Altri profili_2026'!E54</f>
        <v>34</v>
      </c>
      <c r="H54" s="100">
        <f>+'Altri profili_2026'!F54</f>
        <v>3060</v>
      </c>
      <c r="I54" s="300">
        <f>+'Altri profili_2024_'!G54</f>
        <v>0</v>
      </c>
      <c r="J54" s="233">
        <f>+'Altri profili_2024_'!H54+'Altri profili_2025_'!G54+'Altri profili_2026'!G54</f>
        <v>0</v>
      </c>
      <c r="K54" s="234">
        <f>+'Altri profili_2024_'!I54+'Altri profili_2025_'!H54+'Altri profili_2026'!H54</f>
        <v>0</v>
      </c>
      <c r="L54" s="100">
        <f>+'Altri profili_2024_'!J54+'Altri profili_2025_'!I54+'Altri profili_2026'!I54</f>
        <v>0</v>
      </c>
      <c r="M54" s="104"/>
      <c r="N54" s="98"/>
      <c r="O54" s="92"/>
      <c r="P54" s="93" t="s">
        <v>340</v>
      </c>
    </row>
    <row r="55" spans="1:16" s="93" customFormat="1" ht="11.25">
      <c r="A55" s="336" t="s">
        <v>345</v>
      </c>
      <c r="B55" s="337" t="s">
        <v>346</v>
      </c>
      <c r="C55" s="233">
        <f>+'Altri profili_2024_'!E55</f>
        <v>0</v>
      </c>
      <c r="D55" s="234">
        <f>+'Altri profili_2024_'!F55</f>
        <v>0</v>
      </c>
      <c r="E55" s="234">
        <f>+'Altri profili_2025_'!E55</f>
        <v>0</v>
      </c>
      <c r="F55" s="234">
        <f>+'Altri profili_2025_'!F55</f>
        <v>0</v>
      </c>
      <c r="G55" s="234">
        <f>+'Altri profili_2026'!E55</f>
        <v>0</v>
      </c>
      <c r="H55" s="100">
        <f>+'Altri profili_2026'!F55</f>
        <v>0</v>
      </c>
      <c r="I55" s="300">
        <f>+'Altri profili_2024_'!G55</f>
        <v>0</v>
      </c>
      <c r="J55" s="233">
        <f>+'Altri profili_2024_'!H55+'Altri profili_2025_'!G55+'Altri profili_2026'!G55</f>
        <v>0</v>
      </c>
      <c r="K55" s="234">
        <f>+'Altri profili_2024_'!I55+'Altri profili_2025_'!H55+'Altri profili_2026'!H55</f>
        <v>0</v>
      </c>
      <c r="L55" s="100">
        <f>+'Altri profili_2024_'!J55+'Altri profili_2025_'!I55+'Altri profili_2026'!I55</f>
        <v>0</v>
      </c>
      <c r="M55" s="104"/>
      <c r="N55" s="98"/>
      <c r="O55" s="92"/>
      <c r="P55" s="93" t="s">
        <v>340</v>
      </c>
    </row>
    <row r="56" spans="1:16" s="93" customFormat="1" ht="11.25">
      <c r="A56" s="336" t="s">
        <v>347</v>
      </c>
      <c r="B56" s="337" t="s">
        <v>348</v>
      </c>
      <c r="C56" s="233">
        <f>+'Altri profili_2024_'!E56</f>
        <v>5</v>
      </c>
      <c r="D56" s="234">
        <f>+'Altri profili_2024_'!F56</f>
        <v>450</v>
      </c>
      <c r="E56" s="234">
        <f>+'Altri profili_2025_'!E56</f>
        <v>5</v>
      </c>
      <c r="F56" s="234">
        <f>+'Altri profili_2025_'!F56</f>
        <v>450</v>
      </c>
      <c r="G56" s="234">
        <f>+'Altri profili_2026'!E56</f>
        <v>5</v>
      </c>
      <c r="H56" s="100">
        <f>+'Altri profili_2026'!F56</f>
        <v>450</v>
      </c>
      <c r="I56" s="300">
        <f>+'Altri profili_2024_'!G56</f>
        <v>0</v>
      </c>
      <c r="J56" s="233">
        <f>+'Altri profili_2024_'!H56+'Altri profili_2025_'!G56+'Altri profili_2026'!G56</f>
        <v>0</v>
      </c>
      <c r="K56" s="234">
        <f>+'Altri profili_2024_'!I56+'Altri profili_2025_'!H56+'Altri profili_2026'!H56</f>
        <v>0</v>
      </c>
      <c r="L56" s="100">
        <f>+'Altri profili_2024_'!J56+'Altri profili_2025_'!I56+'Altri profili_2026'!I56</f>
        <v>0</v>
      </c>
      <c r="M56" s="104"/>
      <c r="N56" s="98"/>
      <c r="O56" s="92"/>
      <c r="P56" s="93" t="s">
        <v>340</v>
      </c>
    </row>
    <row r="57" spans="1:16" s="93" customFormat="1" ht="11.25">
      <c r="A57" s="336" t="s">
        <v>349</v>
      </c>
      <c r="B57" s="337" t="s">
        <v>350</v>
      </c>
      <c r="C57" s="233">
        <f>+'Altri profili_2024_'!E57</f>
        <v>1</v>
      </c>
      <c r="D57" s="234">
        <f>+'Altri profili_2024_'!F57</f>
        <v>90</v>
      </c>
      <c r="E57" s="234">
        <f>+'Altri profili_2025_'!E57</f>
        <v>1</v>
      </c>
      <c r="F57" s="234">
        <f>+'Altri profili_2025_'!F57</f>
        <v>90</v>
      </c>
      <c r="G57" s="234">
        <f>+'Altri profili_2026'!E57</f>
        <v>2</v>
      </c>
      <c r="H57" s="100">
        <f>+'Altri profili_2026'!F57</f>
        <v>180</v>
      </c>
      <c r="I57" s="300">
        <f>+'Altri profili_2024_'!G57</f>
        <v>0</v>
      </c>
      <c r="J57" s="233">
        <f>+'Altri profili_2024_'!H57+'Altri profili_2025_'!G57+'Altri profili_2026'!G57</f>
        <v>2</v>
      </c>
      <c r="K57" s="234">
        <f>+'Altri profili_2024_'!I57+'Altri profili_2025_'!H57+'Altri profili_2026'!H57</f>
        <v>0</v>
      </c>
      <c r="L57" s="100">
        <f>+'Altri profili_2024_'!J57+'Altri profili_2025_'!I57+'Altri profili_2026'!I57</f>
        <v>2</v>
      </c>
      <c r="M57" s="104"/>
      <c r="N57" s="98"/>
      <c r="O57" s="92"/>
      <c r="P57" s="93" t="s">
        <v>340</v>
      </c>
    </row>
    <row r="58" spans="1:16" s="93" customFormat="1" ht="11.25">
      <c r="A58" s="336" t="s">
        <v>351</v>
      </c>
      <c r="B58" s="337" t="s">
        <v>352</v>
      </c>
      <c r="C58" s="233">
        <f>+'Altri profili_2024_'!E58</f>
        <v>4</v>
      </c>
      <c r="D58" s="234">
        <f>+'Altri profili_2024_'!F58</f>
        <v>0</v>
      </c>
      <c r="E58" s="234">
        <f>+'Altri profili_2025_'!E58</f>
        <v>4</v>
      </c>
      <c r="F58" s="234">
        <f>+'Altri profili_2025_'!F58</f>
        <v>360</v>
      </c>
      <c r="G58" s="234">
        <f>+'Altri profili_2026'!E58</f>
        <v>4</v>
      </c>
      <c r="H58" s="100">
        <f>+'Altri profili_2026'!F58</f>
        <v>360</v>
      </c>
      <c r="I58" s="300">
        <f>+'Altri profili_2024_'!G58</f>
        <v>0</v>
      </c>
      <c r="J58" s="233">
        <f>+'Altri profili_2024_'!H58+'Altri profili_2025_'!G58+'Altri profili_2026'!G58</f>
        <v>0</v>
      </c>
      <c r="K58" s="234">
        <f>+'Altri profili_2024_'!I58+'Altri profili_2025_'!H58+'Altri profili_2026'!H58</f>
        <v>0</v>
      </c>
      <c r="L58" s="100">
        <f>+'Altri profili_2024_'!J58+'Altri profili_2025_'!I58+'Altri profili_2026'!I58</f>
        <v>0</v>
      </c>
      <c r="M58" s="104"/>
      <c r="N58" s="98"/>
      <c r="O58" s="92"/>
      <c r="P58" s="93" t="s">
        <v>340</v>
      </c>
    </row>
    <row r="59" spans="1:16" s="93" customFormat="1" ht="11.25">
      <c r="A59" s="336" t="s">
        <v>353</v>
      </c>
      <c r="B59" s="337" t="s">
        <v>354</v>
      </c>
      <c r="C59" s="233">
        <f>+'Altri profili_2024_'!E59</f>
        <v>0</v>
      </c>
      <c r="D59" s="234">
        <f>+'Altri profili_2024_'!F59</f>
        <v>90</v>
      </c>
      <c r="E59" s="234">
        <f>+'Altri profili_2025_'!E59</f>
        <v>0</v>
      </c>
      <c r="F59" s="234">
        <f>+'Altri profili_2025_'!F59</f>
        <v>90</v>
      </c>
      <c r="G59" s="234">
        <f>+'Altri profili_2026'!E59</f>
        <v>1</v>
      </c>
      <c r="H59" s="100">
        <f>+'Altri profili_2026'!F59</f>
        <v>90</v>
      </c>
      <c r="I59" s="300">
        <f>+'Altri profili_2024_'!G59</f>
        <v>0</v>
      </c>
      <c r="J59" s="233">
        <f>+'Altri profili_2024_'!H59+'Altri profili_2025_'!G59+'Altri profili_2026'!G59</f>
        <v>2</v>
      </c>
      <c r="K59" s="234">
        <f>+'Altri profili_2024_'!I59+'Altri profili_2025_'!H59+'Altri profili_2026'!H59</f>
        <v>0</v>
      </c>
      <c r="L59" s="100">
        <f>+'Altri profili_2024_'!J59+'Altri profili_2025_'!I59+'Altri profili_2026'!I59</f>
        <v>2</v>
      </c>
      <c r="M59" s="104"/>
      <c r="N59" s="98"/>
      <c r="O59" s="92"/>
      <c r="P59" s="93" t="s">
        <v>340</v>
      </c>
    </row>
    <row r="60" spans="1:16" s="93" customFormat="1" ht="11.25">
      <c r="A60" s="336" t="s">
        <v>355</v>
      </c>
      <c r="B60" s="337" t="s">
        <v>356</v>
      </c>
      <c r="C60" s="233">
        <f>+'Altri profili_2024_'!E60</f>
        <v>9</v>
      </c>
      <c r="D60" s="234">
        <f>+'Altri profili_2024_'!F60</f>
        <v>810</v>
      </c>
      <c r="E60" s="234">
        <f>+'Altri profili_2025_'!E60</f>
        <v>9</v>
      </c>
      <c r="F60" s="234">
        <f>+'Altri profili_2025_'!F60</f>
        <v>810</v>
      </c>
      <c r="G60" s="234">
        <f>+'Altri profili_2026'!E60</f>
        <v>9</v>
      </c>
      <c r="H60" s="100">
        <f>+'Altri profili_2026'!F60</f>
        <v>810</v>
      </c>
      <c r="I60" s="300">
        <f>+'Altri profili_2024_'!G60</f>
        <v>0</v>
      </c>
      <c r="J60" s="233">
        <f>+'Altri profili_2024_'!H60+'Altri profili_2025_'!G60+'Altri profili_2026'!G60</f>
        <v>0</v>
      </c>
      <c r="K60" s="234">
        <f>+'Altri profili_2024_'!I60+'Altri profili_2025_'!H60+'Altri profili_2026'!H60</f>
        <v>0</v>
      </c>
      <c r="L60" s="100">
        <f>+'Altri profili_2024_'!J60+'Altri profili_2025_'!I60+'Altri profili_2026'!I60</f>
        <v>0</v>
      </c>
      <c r="M60" s="104"/>
      <c r="N60" s="98"/>
      <c r="O60" s="92"/>
      <c r="P60" s="93" t="s">
        <v>340</v>
      </c>
    </row>
    <row r="61" spans="1:16" s="93" customFormat="1" ht="11.25">
      <c r="A61" s="336" t="s">
        <v>357</v>
      </c>
      <c r="B61" s="337" t="s">
        <v>358</v>
      </c>
      <c r="C61" s="233">
        <f>+'Altri profili_2024_'!E61</f>
        <v>7</v>
      </c>
      <c r="D61" s="234">
        <f>+'Altri profili_2024_'!F61</f>
        <v>700</v>
      </c>
      <c r="E61" s="234">
        <f>+'Altri profili_2025_'!E61</f>
        <v>7</v>
      </c>
      <c r="F61" s="234">
        <f>+'Altri profili_2025_'!F61</f>
        <v>700</v>
      </c>
      <c r="G61" s="234">
        <f>+'Altri profili_2026'!E61</f>
        <v>15</v>
      </c>
      <c r="H61" s="100">
        <f>+'Altri profili_2026'!F61</f>
        <v>1500</v>
      </c>
      <c r="I61" s="300">
        <f>+'Altri profili_2024_'!G61</f>
        <v>0</v>
      </c>
      <c r="J61" s="233">
        <f>+'Altri profili_2024_'!H61+'Altri profili_2025_'!G61+'Altri profili_2026'!G61</f>
        <v>16</v>
      </c>
      <c r="K61" s="234">
        <f>+'Altri profili_2024_'!I61+'Altri profili_2025_'!H61+'Altri profili_2026'!H61</f>
        <v>4</v>
      </c>
      <c r="L61" s="100">
        <f>+'Altri profili_2024_'!J61+'Altri profili_2025_'!I61+'Altri profili_2026'!I61</f>
        <v>12</v>
      </c>
      <c r="M61" s="104"/>
      <c r="N61" s="98"/>
      <c r="O61" s="92"/>
      <c r="P61" s="93" t="s">
        <v>316</v>
      </c>
    </row>
    <row r="62" spans="1:16" s="93" customFormat="1" ht="11.25">
      <c r="A62" s="336" t="s">
        <v>359</v>
      </c>
      <c r="B62" s="337" t="s">
        <v>360</v>
      </c>
      <c r="C62" s="233">
        <f>+'Altri profili_2024_'!E62</f>
        <v>36</v>
      </c>
      <c r="D62" s="234">
        <f>+'Altri profili_2024_'!F62</f>
        <v>1260</v>
      </c>
      <c r="E62" s="234">
        <f>+'Altri profili_2025_'!E62</f>
        <v>38</v>
      </c>
      <c r="F62" s="234">
        <f>+'Altri profili_2025_'!F62</f>
        <v>1330</v>
      </c>
      <c r="G62" s="234">
        <f>+'Altri profili_2026'!E62</f>
        <v>40</v>
      </c>
      <c r="H62" s="100">
        <f>+'Altri profili_2026'!F62</f>
        <v>1400</v>
      </c>
      <c r="I62" s="300">
        <f>+'Altri profili_2024_'!G62</f>
        <v>0</v>
      </c>
      <c r="J62" s="233">
        <f>+'Altri profili_2024_'!H62+'Altri profili_2025_'!G62+'Altri profili_2026'!G62</f>
        <v>6</v>
      </c>
      <c r="K62" s="234">
        <f>+'Altri profili_2024_'!I62+'Altri profili_2025_'!H62+'Altri profili_2026'!H62</f>
        <v>2</v>
      </c>
      <c r="L62" s="100">
        <f>+'Altri profili_2024_'!J62+'Altri profili_2025_'!I62+'Altri profili_2026'!I62</f>
        <v>4</v>
      </c>
      <c r="M62" s="104"/>
      <c r="N62" s="98"/>
      <c r="O62" s="92"/>
      <c r="P62" s="93" t="s">
        <v>361</v>
      </c>
    </row>
    <row r="63" spans="1:16" s="93" customFormat="1" ht="11.25">
      <c r="A63" s="336" t="s">
        <v>362</v>
      </c>
      <c r="B63" s="337" t="s">
        <v>363</v>
      </c>
      <c r="C63" s="233">
        <f>+'Altri profili_2024_'!E63</f>
        <v>17</v>
      </c>
      <c r="D63" s="234">
        <f>+'Altri profili_2024_'!F63</f>
        <v>510</v>
      </c>
      <c r="E63" s="234">
        <f>+'Altri profili_2025_'!E63</f>
        <v>17</v>
      </c>
      <c r="F63" s="234">
        <f>+'Altri profili_2025_'!F63</f>
        <v>510</v>
      </c>
      <c r="G63" s="234">
        <f>+'Altri profili_2026'!E63</f>
        <v>23</v>
      </c>
      <c r="H63" s="100">
        <f>+'Altri profili_2026'!F63</f>
        <v>690</v>
      </c>
      <c r="I63" s="300">
        <f>+'Altri profili_2024_'!G63</f>
        <v>0</v>
      </c>
      <c r="J63" s="233">
        <f>+'Altri profili_2024_'!H63+'Altri profili_2025_'!G63+'Altri profili_2026'!G63</f>
        <v>12</v>
      </c>
      <c r="K63" s="234">
        <f>+'Altri profili_2024_'!I63+'Altri profili_2025_'!H63+'Altri profili_2026'!H63</f>
        <v>0</v>
      </c>
      <c r="L63" s="100">
        <f>+'Altri profili_2024_'!J63+'Altri profili_2025_'!I63+'Altri profili_2026'!I63</f>
        <v>12</v>
      </c>
      <c r="M63" s="104"/>
      <c r="N63" s="98"/>
      <c r="O63" s="92"/>
      <c r="P63" s="93" t="s">
        <v>361</v>
      </c>
    </row>
    <row r="64" spans="1:16" s="93" customFormat="1" ht="11.25">
      <c r="A64" s="336" t="s">
        <v>364</v>
      </c>
      <c r="B64" s="337" t="s">
        <v>365</v>
      </c>
      <c r="C64" s="233">
        <f>+'Altri profili_2024_'!E64</f>
        <v>58</v>
      </c>
      <c r="D64" s="234">
        <f>+'Altri profili_2024_'!F64</f>
        <v>1914</v>
      </c>
      <c r="E64" s="234">
        <f>+'Altri profili_2025_'!E64</f>
        <v>63</v>
      </c>
      <c r="F64" s="234">
        <f>+'Altri profili_2025_'!F64</f>
        <v>2079</v>
      </c>
      <c r="G64" s="234">
        <f>+'Altri profili_2026'!E64</f>
        <v>73</v>
      </c>
      <c r="H64" s="100">
        <f>+'Altri profili_2026'!F64</f>
        <v>2409</v>
      </c>
      <c r="I64" s="300">
        <f>+'Altri profili_2024_'!G64</f>
        <v>0</v>
      </c>
      <c r="J64" s="233">
        <f>+'Altri profili_2024_'!H64+'Altri profili_2025_'!G64+'Altri profili_2026'!G64</f>
        <v>25</v>
      </c>
      <c r="K64" s="234">
        <f>+'Altri profili_2024_'!I64+'Altri profili_2025_'!H64+'Altri profili_2026'!H64</f>
        <v>5</v>
      </c>
      <c r="L64" s="100">
        <f>+'Altri profili_2024_'!J64+'Altri profili_2025_'!I64+'Altri profili_2026'!I64</f>
        <v>20</v>
      </c>
      <c r="M64" s="104"/>
      <c r="N64" s="98"/>
      <c r="O64" s="92"/>
      <c r="P64" s="93" t="s">
        <v>361</v>
      </c>
    </row>
    <row r="65" spans="1:16" s="93" customFormat="1" ht="11.25">
      <c r="A65" s="336" t="s">
        <v>366</v>
      </c>
      <c r="B65" s="337" t="s">
        <v>367</v>
      </c>
      <c r="C65" s="233">
        <f>+'Altri profili_2024_'!E65</f>
        <v>41</v>
      </c>
      <c r="D65" s="234">
        <f>+'Altri profili_2024_'!F65</f>
        <v>1681</v>
      </c>
      <c r="E65" s="234">
        <f>+'Altri profili_2025_'!E65</f>
        <v>45</v>
      </c>
      <c r="F65" s="234">
        <f>+'Altri profili_2025_'!F65</f>
        <v>1845</v>
      </c>
      <c r="G65" s="234">
        <f>+'Altri profili_2026'!E65</f>
        <v>52</v>
      </c>
      <c r="H65" s="100">
        <f>+'Altri profili_2026'!F65</f>
        <v>2132</v>
      </c>
      <c r="I65" s="300">
        <f>+'Altri profili_2024_'!G65</f>
        <v>0</v>
      </c>
      <c r="J65" s="233">
        <f>+'Altri profili_2024_'!H65+'Altri profili_2025_'!G65+'Altri profili_2026'!G65</f>
        <v>18</v>
      </c>
      <c r="K65" s="234">
        <f>+'Altri profili_2024_'!I65+'Altri profili_2025_'!H65+'Altri profili_2026'!H65</f>
        <v>4</v>
      </c>
      <c r="L65" s="100">
        <f>+'Altri profili_2024_'!J65+'Altri profili_2025_'!I65+'Altri profili_2026'!I65</f>
        <v>14</v>
      </c>
      <c r="M65" s="104"/>
      <c r="N65" s="98"/>
      <c r="O65" s="92"/>
      <c r="P65" s="93" t="s">
        <v>361</v>
      </c>
    </row>
    <row r="66" spans="1:16" s="93" customFormat="1" ht="11.25">
      <c r="A66" s="336" t="s">
        <v>368</v>
      </c>
      <c r="B66" s="337" t="s">
        <v>369</v>
      </c>
      <c r="C66" s="233">
        <f>+'Altri profili_2024_'!E66</f>
        <v>0</v>
      </c>
      <c r="D66" s="234">
        <f>+'Altri profili_2024_'!F66</f>
        <v>0</v>
      </c>
      <c r="E66" s="234">
        <f>+'Altri profili_2025_'!E66</f>
        <v>0</v>
      </c>
      <c r="F66" s="234">
        <f>+'Altri profili_2025_'!F66</f>
        <v>0</v>
      </c>
      <c r="G66" s="234">
        <f>+'Altri profili_2026'!E66</f>
        <v>0</v>
      </c>
      <c r="H66" s="100">
        <f>+'Altri profili_2026'!F66</f>
        <v>0</v>
      </c>
      <c r="I66" s="300">
        <f>+'Altri profili_2024_'!G66</f>
        <v>0</v>
      </c>
      <c r="J66" s="233">
        <f>+'Altri profili_2024_'!H66+'Altri profili_2025_'!G66+'Altri profili_2026'!G66</f>
        <v>0</v>
      </c>
      <c r="K66" s="234">
        <f>+'Altri profili_2024_'!I66+'Altri profili_2025_'!H66+'Altri profili_2026'!H66</f>
        <v>0</v>
      </c>
      <c r="L66" s="100">
        <f>+'Altri profili_2024_'!J66+'Altri profili_2025_'!I66+'Altri profili_2026'!I66</f>
        <v>0</v>
      </c>
      <c r="M66" s="104"/>
      <c r="N66" s="98"/>
      <c r="O66" s="92"/>
      <c r="P66" s="93" t="s">
        <v>361</v>
      </c>
    </row>
    <row r="67" spans="1:16" s="93" customFormat="1" ht="11.25">
      <c r="A67" s="336" t="s">
        <v>370</v>
      </c>
      <c r="B67" s="337" t="s">
        <v>334</v>
      </c>
      <c r="C67" s="233">
        <f>+'Altri profili_2024_'!E67</f>
        <v>0</v>
      </c>
      <c r="D67" s="234">
        <f>+'Altri profili_2024_'!F67</f>
        <v>0</v>
      </c>
      <c r="E67" s="234">
        <f>+'Altri profili_2025_'!E67</f>
        <v>0</v>
      </c>
      <c r="F67" s="234">
        <f>+'Altri profili_2025_'!F67</f>
        <v>0</v>
      </c>
      <c r="G67" s="234">
        <f>+'Altri profili_2026'!E67</f>
        <v>0</v>
      </c>
      <c r="H67" s="100">
        <f>+'Altri profili_2026'!F67</f>
        <v>0</v>
      </c>
      <c r="I67" s="300">
        <f>+'Altri profili_2024_'!G67</f>
        <v>0</v>
      </c>
      <c r="J67" s="233">
        <f>+'Altri profili_2024_'!H67+'Altri profili_2025_'!G67+'Altri profili_2026'!G67</f>
        <v>0</v>
      </c>
      <c r="K67" s="234">
        <f>+'Altri profili_2024_'!I67+'Altri profili_2025_'!H67+'Altri profili_2026'!H67</f>
        <v>0</v>
      </c>
      <c r="L67" s="100">
        <f>+'Altri profili_2024_'!J67+'Altri profili_2025_'!I67+'Altri profili_2026'!I67</f>
        <v>0</v>
      </c>
      <c r="M67" s="104"/>
      <c r="N67" s="98"/>
      <c r="O67" s="92"/>
      <c r="P67" s="93" t="s">
        <v>361</v>
      </c>
    </row>
    <row r="68" spans="1:16" s="93" customFormat="1" ht="11.25">
      <c r="A68" s="336" t="s">
        <v>371</v>
      </c>
      <c r="B68" s="337" t="s">
        <v>372</v>
      </c>
      <c r="C68" s="233">
        <f>+'Altri profili_2024_'!E68</f>
        <v>0</v>
      </c>
      <c r="D68" s="234">
        <f>+'Altri profili_2024_'!F68</f>
        <v>0</v>
      </c>
      <c r="E68" s="234">
        <f>+'Altri profili_2025_'!E68</f>
        <v>0</v>
      </c>
      <c r="F68" s="234">
        <f>+'Altri profili_2025_'!F68</f>
        <v>0</v>
      </c>
      <c r="G68" s="234">
        <f>+'Altri profili_2026'!E68</f>
        <v>0</v>
      </c>
      <c r="H68" s="100">
        <f>+'Altri profili_2026'!F68</f>
        <v>0</v>
      </c>
      <c r="I68" s="300">
        <f>+'Altri profili_2024_'!G68</f>
        <v>0</v>
      </c>
      <c r="J68" s="233">
        <f>+'Altri profili_2024_'!H68+'Altri profili_2025_'!G68+'Altri profili_2026'!G68</f>
        <v>0</v>
      </c>
      <c r="K68" s="234">
        <f>+'Altri profili_2024_'!I68+'Altri profili_2025_'!H68+'Altri profili_2026'!H68</f>
        <v>0</v>
      </c>
      <c r="L68" s="100">
        <f>+'Altri profili_2024_'!J68+'Altri profili_2025_'!I68+'Altri profili_2026'!I68</f>
        <v>0</v>
      </c>
      <c r="M68" s="104"/>
      <c r="N68" s="98"/>
      <c r="O68" s="92"/>
      <c r="P68" s="93" t="s">
        <v>361</v>
      </c>
    </row>
    <row r="69" spans="1:16" s="93" customFormat="1" ht="11.25">
      <c r="A69" s="336" t="s">
        <v>373</v>
      </c>
      <c r="B69" s="337" t="s">
        <v>374</v>
      </c>
      <c r="C69" s="233">
        <f>+'Altri profili_2024_'!E69</f>
        <v>0</v>
      </c>
      <c r="D69" s="234">
        <f>+'Altri profili_2024_'!F69</f>
        <v>0</v>
      </c>
      <c r="E69" s="234">
        <f>+'Altri profili_2025_'!E69</f>
        <v>0</v>
      </c>
      <c r="F69" s="234">
        <f>+'Altri profili_2025_'!F69</f>
        <v>0</v>
      </c>
      <c r="G69" s="234">
        <f>+'Altri profili_2026'!E69</f>
        <v>0</v>
      </c>
      <c r="H69" s="100">
        <f>+'Altri profili_2026'!F69</f>
        <v>0</v>
      </c>
      <c r="I69" s="300">
        <f>+'Altri profili_2024_'!G69</f>
        <v>0</v>
      </c>
      <c r="J69" s="233">
        <f>+'Altri profili_2024_'!H69+'Altri profili_2025_'!G69+'Altri profili_2026'!G69</f>
        <v>0</v>
      </c>
      <c r="K69" s="234">
        <f>+'Altri profili_2024_'!I69+'Altri profili_2025_'!H69+'Altri profili_2026'!H69</f>
        <v>0</v>
      </c>
      <c r="L69" s="100">
        <f>+'Altri profili_2024_'!J69+'Altri profili_2025_'!I69+'Altri profili_2026'!I69</f>
        <v>0</v>
      </c>
      <c r="M69" s="104"/>
      <c r="N69" s="98"/>
      <c r="O69" s="92"/>
      <c r="P69" s="93" t="s">
        <v>361</v>
      </c>
    </row>
    <row r="70" spans="1:16" s="93" customFormat="1" ht="11.25">
      <c r="A70" s="336" t="s">
        <v>375</v>
      </c>
      <c r="B70" s="337" t="s">
        <v>376</v>
      </c>
      <c r="C70" s="233">
        <f>+'Altri profili_2024_'!E70</f>
        <v>0</v>
      </c>
      <c r="D70" s="234">
        <f>+'Altri profili_2024_'!F70</f>
        <v>0</v>
      </c>
      <c r="E70" s="234">
        <f>+'Altri profili_2025_'!E70</f>
        <v>0</v>
      </c>
      <c r="F70" s="234">
        <f>+'Altri profili_2025_'!F70</f>
        <v>0</v>
      </c>
      <c r="G70" s="234">
        <f>+'Altri profili_2026'!E70</f>
        <v>0</v>
      </c>
      <c r="H70" s="100">
        <f>+'Altri profili_2026'!F70</f>
        <v>0</v>
      </c>
      <c r="I70" s="300">
        <f>+'Altri profili_2024_'!G70</f>
        <v>0</v>
      </c>
      <c r="J70" s="233">
        <f>+'Altri profili_2024_'!H70+'Altri profili_2025_'!G70+'Altri profili_2026'!G70</f>
        <v>0</v>
      </c>
      <c r="K70" s="234">
        <f>+'Altri profili_2024_'!I70+'Altri profili_2025_'!H70+'Altri profili_2026'!H70</f>
        <v>0</v>
      </c>
      <c r="L70" s="100">
        <f>+'Altri profili_2024_'!J70+'Altri profili_2025_'!I70+'Altri profili_2026'!I70</f>
        <v>0</v>
      </c>
      <c r="M70" s="104"/>
      <c r="N70" s="98"/>
      <c r="O70" s="92"/>
      <c r="P70" s="93" t="s">
        <v>361</v>
      </c>
    </row>
    <row r="71" spans="1:16" s="93" customFormat="1" ht="11.25">
      <c r="A71" s="336" t="s">
        <v>377</v>
      </c>
      <c r="B71" s="337" t="s">
        <v>378</v>
      </c>
      <c r="C71" s="233">
        <f>+'Altri profili_2024_'!E71</f>
        <v>0</v>
      </c>
      <c r="D71" s="234">
        <f>+'Altri profili_2024_'!F71</f>
        <v>0</v>
      </c>
      <c r="E71" s="234">
        <f>+'Altri profili_2025_'!E71</f>
        <v>0</v>
      </c>
      <c r="F71" s="234">
        <f>+'Altri profili_2025_'!F71</f>
        <v>0</v>
      </c>
      <c r="G71" s="234">
        <f>+'Altri profili_2026'!E71</f>
        <v>0</v>
      </c>
      <c r="H71" s="100">
        <f>+'Altri profili_2026'!F71</f>
        <v>0</v>
      </c>
      <c r="I71" s="300">
        <f>+'Altri profili_2024_'!G71</f>
        <v>0</v>
      </c>
      <c r="J71" s="233">
        <f>+'Altri profili_2024_'!H71+'Altri profili_2025_'!G71+'Altri profili_2026'!G71</f>
        <v>0</v>
      </c>
      <c r="K71" s="234">
        <f>+'Altri profili_2024_'!I71+'Altri profili_2025_'!H71+'Altri profili_2026'!H71</f>
        <v>0</v>
      </c>
      <c r="L71" s="100">
        <f>+'Altri profili_2024_'!J71+'Altri profili_2025_'!I71+'Altri profili_2026'!I71</f>
        <v>0</v>
      </c>
      <c r="M71" s="104"/>
      <c r="N71" s="98"/>
      <c r="O71" s="92"/>
      <c r="P71" s="93" t="s">
        <v>361</v>
      </c>
    </row>
    <row r="72" spans="1:16" s="93" customFormat="1" ht="11.25">
      <c r="A72" s="336" t="s">
        <v>379</v>
      </c>
      <c r="B72" s="337" t="s">
        <v>380</v>
      </c>
      <c r="C72" s="233">
        <f>+'Altri profili_2024_'!E72</f>
        <v>3</v>
      </c>
      <c r="D72" s="234">
        <f>+'Altri profili_2024_'!F72</f>
        <v>120</v>
      </c>
      <c r="E72" s="234">
        <f>+'Altri profili_2025_'!E72</f>
        <v>3</v>
      </c>
      <c r="F72" s="234">
        <f>+'Altri profili_2025_'!F72</f>
        <v>120</v>
      </c>
      <c r="G72" s="234">
        <f>+'Altri profili_2026'!E72</f>
        <v>3</v>
      </c>
      <c r="H72" s="100">
        <f>+'Altri profili_2026'!F72</f>
        <v>120</v>
      </c>
      <c r="I72" s="300">
        <f>+'Altri profili_2024_'!G72</f>
        <v>0</v>
      </c>
      <c r="J72" s="233">
        <f>+'Altri profili_2024_'!H72+'Altri profili_2025_'!G72+'Altri profili_2026'!G72</f>
        <v>0</v>
      </c>
      <c r="K72" s="234">
        <f>+'Altri profili_2024_'!I72+'Altri profili_2025_'!H72+'Altri profili_2026'!H72</f>
        <v>0</v>
      </c>
      <c r="L72" s="100">
        <f>+'Altri profili_2024_'!J72+'Altri profili_2025_'!I72+'Altri profili_2026'!I72</f>
        <v>0</v>
      </c>
      <c r="M72" s="104"/>
      <c r="N72" s="98"/>
      <c r="O72" s="92"/>
      <c r="P72" s="93" t="s">
        <v>431</v>
      </c>
    </row>
    <row r="73" spans="1:16" s="93" customFormat="1" ht="11.25">
      <c r="A73" s="336" t="s">
        <v>381</v>
      </c>
      <c r="B73" s="337" t="s">
        <v>380</v>
      </c>
      <c r="C73" s="233">
        <f>+'Altri profili_2024_'!E73</f>
        <v>0</v>
      </c>
      <c r="D73" s="234">
        <f>+'Altri profili_2024_'!F73</f>
        <v>0</v>
      </c>
      <c r="E73" s="234">
        <f>+'Altri profili_2025_'!E73</f>
        <v>0</v>
      </c>
      <c r="F73" s="234">
        <f>+'Altri profili_2025_'!F73</f>
        <v>0</v>
      </c>
      <c r="G73" s="234">
        <f>+'Altri profili_2026'!E73</f>
        <v>0</v>
      </c>
      <c r="H73" s="100">
        <f>+'Altri profili_2026'!F73</f>
        <v>0</v>
      </c>
      <c r="I73" s="300">
        <f>+'Altri profili_2024_'!G73</f>
        <v>0</v>
      </c>
      <c r="J73" s="233">
        <f>+'Altri profili_2024_'!H73+'Altri profili_2025_'!G73+'Altri profili_2026'!G73</f>
        <v>0</v>
      </c>
      <c r="K73" s="234">
        <f>+'Altri profili_2024_'!I73+'Altri profili_2025_'!H73+'Altri profili_2026'!H73</f>
        <v>0</v>
      </c>
      <c r="L73" s="100">
        <f>+'Altri profili_2024_'!J73+'Altri profili_2025_'!I73+'Altri profili_2026'!I73</f>
        <v>0</v>
      </c>
      <c r="M73" s="104"/>
      <c r="N73" s="98"/>
      <c r="O73" s="92"/>
      <c r="P73" s="93" t="s">
        <v>361</v>
      </c>
    </row>
    <row r="74" spans="1:16" s="93" customFormat="1" ht="11.25">
      <c r="A74" s="336" t="s">
        <v>382</v>
      </c>
      <c r="B74" s="337" t="s">
        <v>334</v>
      </c>
      <c r="C74" s="233">
        <f>+'Altri profili_2024_'!E74</f>
        <v>0</v>
      </c>
      <c r="D74" s="234">
        <f>+'Altri profili_2024_'!F74</f>
        <v>0</v>
      </c>
      <c r="E74" s="234">
        <f>+'Altri profili_2025_'!E74</f>
        <v>0</v>
      </c>
      <c r="F74" s="234">
        <f>+'Altri profili_2025_'!F74</f>
        <v>0</v>
      </c>
      <c r="G74" s="234">
        <f>+'Altri profili_2026'!E74</f>
        <v>0</v>
      </c>
      <c r="H74" s="100">
        <f>+'Altri profili_2026'!F74</f>
        <v>0</v>
      </c>
      <c r="I74" s="300">
        <f>+'Altri profili_2024_'!G74</f>
        <v>0</v>
      </c>
      <c r="J74" s="233">
        <f>+'Altri profili_2024_'!H74+'Altri profili_2025_'!G74+'Altri profili_2026'!G74</f>
        <v>0</v>
      </c>
      <c r="K74" s="234">
        <f>+'Altri profili_2024_'!I74+'Altri profili_2025_'!H74+'Altri profili_2026'!H74</f>
        <v>0</v>
      </c>
      <c r="L74" s="100">
        <f>+'Altri profili_2024_'!J74+'Altri profili_2025_'!I74+'Altri profili_2026'!I74</f>
        <v>0</v>
      </c>
      <c r="M74" s="104"/>
      <c r="N74" s="98"/>
      <c r="O74" s="92"/>
      <c r="P74" s="93" t="s">
        <v>361</v>
      </c>
    </row>
    <row r="75" spans="1:16" s="93" customFormat="1" ht="11.25">
      <c r="A75" s="336" t="s">
        <v>383</v>
      </c>
      <c r="B75" s="337" t="s">
        <v>384</v>
      </c>
      <c r="C75" s="233">
        <f>+'Altri profili_2024_'!E75</f>
        <v>1</v>
      </c>
      <c r="D75" s="234">
        <f>+'Altri profili_2024_'!F75</f>
        <v>100</v>
      </c>
      <c r="E75" s="234">
        <f>+'Altri profili_2025_'!E75</f>
        <v>1</v>
      </c>
      <c r="F75" s="234">
        <f>+'Altri profili_2025_'!F75</f>
        <v>100</v>
      </c>
      <c r="G75" s="234">
        <f>+'Altri profili_2026'!E75</f>
        <v>3</v>
      </c>
      <c r="H75" s="100">
        <f>+'Altri profili_2026'!F75</f>
        <v>300</v>
      </c>
      <c r="I75" s="300">
        <f>+'Altri profili_2024_'!G75</f>
        <v>0</v>
      </c>
      <c r="J75" s="233">
        <f>+'Altri profili_2024_'!H75+'Altri profili_2025_'!G75+'Altri profili_2026'!G75</f>
        <v>4</v>
      </c>
      <c r="K75" s="234">
        <f>+'Altri profili_2024_'!I75+'Altri profili_2025_'!H75+'Altri profili_2026'!H75</f>
        <v>0</v>
      </c>
      <c r="L75" s="100">
        <f>+'Altri profili_2024_'!J75+'Altri profili_2025_'!I75+'Altri profili_2026'!I75</f>
        <v>4</v>
      </c>
      <c r="M75" s="104"/>
      <c r="N75" s="98"/>
      <c r="O75" s="92"/>
      <c r="P75" s="93" t="s">
        <v>316</v>
      </c>
    </row>
    <row r="76" spans="1:16" s="93" customFormat="1" ht="11.25">
      <c r="A76" s="336" t="s">
        <v>385</v>
      </c>
      <c r="B76" s="337" t="s">
        <v>386</v>
      </c>
      <c r="C76" s="233">
        <f>+'Altri profili_2024_'!E76</f>
        <v>5</v>
      </c>
      <c r="D76" s="234">
        <f>+'Altri profili_2024_'!F76</f>
        <v>500</v>
      </c>
      <c r="E76" s="234">
        <f>+'Altri profili_2025_'!E76</f>
        <v>5</v>
      </c>
      <c r="F76" s="234">
        <f>+'Altri profili_2025_'!F76</f>
        <v>500</v>
      </c>
      <c r="G76" s="234">
        <f>+'Altri profili_2026'!E76</f>
        <v>5</v>
      </c>
      <c r="H76" s="100">
        <f>+'Altri profili_2026'!F76</f>
        <v>500</v>
      </c>
      <c r="I76" s="300">
        <f>+'Altri profili_2024_'!G76</f>
        <v>0</v>
      </c>
      <c r="J76" s="233">
        <f>+'Altri profili_2024_'!H76+'Altri profili_2025_'!G76+'Altri profili_2026'!G76</f>
        <v>0</v>
      </c>
      <c r="K76" s="234">
        <f>+'Altri profili_2024_'!I76+'Altri profili_2025_'!H76+'Altri profili_2026'!H76</f>
        <v>0</v>
      </c>
      <c r="L76" s="100">
        <f>+'Altri profili_2024_'!J76+'Altri profili_2025_'!I76+'Altri profili_2026'!I76</f>
        <v>0</v>
      </c>
      <c r="M76" s="104"/>
      <c r="N76" s="98"/>
      <c r="O76" s="92"/>
      <c r="P76" s="93" t="s">
        <v>316</v>
      </c>
    </row>
    <row r="77" spans="1:16" s="93" customFormat="1" ht="11.25">
      <c r="A77" s="336" t="s">
        <v>387</v>
      </c>
      <c r="B77" s="337" t="s">
        <v>388</v>
      </c>
      <c r="C77" s="233">
        <f>+'Altri profili_2024_'!E77</f>
        <v>2</v>
      </c>
      <c r="D77" s="234">
        <f>+'Altri profili_2024_'!F77</f>
        <v>200</v>
      </c>
      <c r="E77" s="234">
        <f>+'Altri profili_2025_'!E77</f>
        <v>2</v>
      </c>
      <c r="F77" s="234">
        <f>+'Altri profili_2025_'!F77</f>
        <v>200</v>
      </c>
      <c r="G77" s="234">
        <f>+'Altri profili_2026'!E77</f>
        <v>2</v>
      </c>
      <c r="H77" s="100">
        <f>+'Altri profili_2026'!F77</f>
        <v>200</v>
      </c>
      <c r="I77" s="300">
        <f>+'Altri profili_2024_'!G77</f>
        <v>0</v>
      </c>
      <c r="J77" s="233">
        <f>+'Altri profili_2024_'!H77+'Altri profili_2025_'!G77+'Altri profili_2026'!G77</f>
        <v>0</v>
      </c>
      <c r="K77" s="234">
        <f>+'Altri profili_2024_'!I77+'Altri profili_2025_'!H77+'Altri profili_2026'!H77</f>
        <v>0</v>
      </c>
      <c r="L77" s="100">
        <f>+'Altri profili_2024_'!J77+'Altri profili_2025_'!I77+'Altri profili_2026'!I77</f>
        <v>0</v>
      </c>
      <c r="M77" s="104"/>
      <c r="N77" s="98"/>
      <c r="O77" s="92"/>
      <c r="P77" s="93" t="s">
        <v>316</v>
      </c>
    </row>
    <row r="78" spans="1:16" s="93" customFormat="1" ht="11.25">
      <c r="A78" s="336" t="s">
        <v>389</v>
      </c>
      <c r="B78" s="337" t="s">
        <v>390</v>
      </c>
      <c r="C78" s="233">
        <f>+'Altri profili_2024_'!E78</f>
        <v>0</v>
      </c>
      <c r="D78" s="234">
        <f>+'Altri profili_2024_'!F78</f>
        <v>0</v>
      </c>
      <c r="E78" s="234">
        <f>+'Altri profili_2025_'!E78</f>
        <v>0</v>
      </c>
      <c r="F78" s="234">
        <f>+'Altri profili_2025_'!F78</f>
        <v>0</v>
      </c>
      <c r="G78" s="234">
        <f>+'Altri profili_2026'!E78</f>
        <v>0</v>
      </c>
      <c r="H78" s="100">
        <f>+'Altri profili_2026'!F78</f>
        <v>0</v>
      </c>
      <c r="I78" s="300">
        <f>+'Altri profili_2024_'!G78</f>
        <v>0</v>
      </c>
      <c r="J78" s="233">
        <f>+'Altri profili_2024_'!H78+'Altri profili_2025_'!G78+'Altri profili_2026'!G78</f>
        <v>0</v>
      </c>
      <c r="K78" s="234">
        <f>+'Altri profili_2024_'!I78+'Altri profili_2025_'!H78+'Altri profili_2026'!H78</f>
        <v>0</v>
      </c>
      <c r="L78" s="100">
        <f>+'Altri profili_2024_'!J78+'Altri profili_2025_'!I78+'Altri profili_2026'!I78</f>
        <v>0</v>
      </c>
      <c r="M78" s="104"/>
      <c r="N78" s="98"/>
      <c r="O78" s="92"/>
      <c r="P78" s="93" t="s">
        <v>316</v>
      </c>
    </row>
    <row r="79" spans="1:16" s="93" customFormat="1" ht="11.25">
      <c r="A79" s="338" t="s">
        <v>391</v>
      </c>
      <c r="B79" s="339" t="s">
        <v>392</v>
      </c>
      <c r="C79" s="236">
        <f>+'Altri profili_2024_'!E79</f>
        <v>0</v>
      </c>
      <c r="D79" s="237">
        <f>+'Altri profili_2024_'!F79</f>
        <v>0</v>
      </c>
      <c r="E79" s="237">
        <f>+'Altri profili_2025_'!E79</f>
        <v>0</v>
      </c>
      <c r="F79" s="237">
        <f>+'Altri profili_2025_'!F79</f>
        <v>0</v>
      </c>
      <c r="G79" s="237">
        <f>+'Altri profili_2026'!E79</f>
        <v>0</v>
      </c>
      <c r="H79" s="112">
        <f>+'Altri profili_2026'!F79</f>
        <v>0</v>
      </c>
      <c r="I79" s="303">
        <f>+'Altri profili_2024_'!G79</f>
        <v>0</v>
      </c>
      <c r="J79" s="236">
        <f>+'Altri profili_2024_'!H79+'Altri profili_2025_'!G79+'Altri profili_2026'!G79</f>
        <v>0</v>
      </c>
      <c r="K79" s="237">
        <f>+'Altri profili_2024_'!I79+'Altri profili_2025_'!H79+'Altri profili_2026'!H79</f>
        <v>0</v>
      </c>
      <c r="L79" s="112">
        <f>+'Altri profili_2024_'!J79+'Altri profili_2025_'!I79+'Altri profili_2026'!I79</f>
        <v>0</v>
      </c>
      <c r="M79" s="340"/>
      <c r="N79" s="110"/>
      <c r="O79" s="92"/>
      <c r="P79" s="93" t="s">
        <v>316</v>
      </c>
    </row>
  </sheetData>
  <mergeCells count="3">
    <mergeCell ref="A4:B4"/>
    <mergeCell ref="A5:B5"/>
    <mergeCell ref="A6:B6"/>
  </mergeCells>
  <pageMargins left="0.23611111111111099" right="0.23611111111111099" top="0.74791666666666701" bottom="0.74791666666666701" header="0.51180555555555496" footer="0.31527777777777799"/>
  <pageSetup paperSize="8" scale="78" firstPageNumber="0" orientation="landscape" r:id="rId1"/>
  <headerFooter>
    <oddFooter>&amp;R&amp;"Arial,Normale"&amp;10&amp;A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J23"/>
  <sheetViews>
    <sheetView showGridLines="0" zoomScale="110" zoomScaleNormal="110" workbookViewId="0">
      <selection activeCell="C3" sqref="C3"/>
    </sheetView>
  </sheetViews>
  <sheetFormatPr defaultColWidth="8.85546875" defaultRowHeight="15"/>
  <cols>
    <col min="1" max="1" width="8.85546875" style="25"/>
    <col min="2" max="2" width="11.5703125" style="25" hidden="1" customWidth="1"/>
    <col min="3" max="3" width="34.7109375" style="25" customWidth="1"/>
    <col min="4" max="12" width="13.7109375" style="25" customWidth="1"/>
    <col min="13" max="24" width="11.7109375" style="25" customWidth="1"/>
    <col min="25" max="1024" width="8.85546875" style="25"/>
  </cols>
  <sheetData>
    <row r="2" spans="1:12">
      <c r="C2" s="16" t="s">
        <v>450</v>
      </c>
    </row>
    <row r="3" spans="1:12">
      <c r="C3" s="16"/>
    </row>
    <row r="4" spans="1:12" s="93" customFormat="1" ht="15" customHeight="1">
      <c r="D4" s="392"/>
      <c r="E4" s="392"/>
      <c r="F4" s="392"/>
      <c r="G4" s="392"/>
      <c r="H4" s="392"/>
      <c r="I4" s="392"/>
      <c r="J4" s="392"/>
      <c r="K4" s="392"/>
      <c r="L4" s="392"/>
    </row>
    <row r="5" spans="1:12" ht="33" customHeight="1">
      <c r="C5" s="374" t="s">
        <v>394</v>
      </c>
      <c r="D5" s="393">
        <v>2024</v>
      </c>
      <c r="E5" s="393"/>
      <c r="F5" s="393"/>
      <c r="G5" s="393">
        <v>2025</v>
      </c>
      <c r="H5" s="393"/>
      <c r="I5" s="393"/>
      <c r="J5" s="394">
        <v>2026</v>
      </c>
      <c r="K5" s="394"/>
      <c r="L5" s="394"/>
    </row>
    <row r="6" spans="1:12" ht="33" customHeight="1">
      <c r="C6" s="374"/>
      <c r="D6" s="395" t="s">
        <v>395</v>
      </c>
      <c r="E6" s="395"/>
      <c r="F6" s="395"/>
      <c r="G6" s="395"/>
      <c r="H6" s="395"/>
      <c r="I6" s="395"/>
      <c r="J6" s="395"/>
      <c r="K6" s="395"/>
      <c r="L6" s="395"/>
    </row>
    <row r="7" spans="1:12" ht="33.75">
      <c r="A7" s="49"/>
      <c r="C7" s="374"/>
      <c r="D7" s="341" t="s">
        <v>55</v>
      </c>
      <c r="E7" s="342" t="s">
        <v>429</v>
      </c>
      <c r="F7" s="343" t="s">
        <v>396</v>
      </c>
      <c r="G7" s="341" t="s">
        <v>55</v>
      </c>
      <c r="H7" s="342" t="s">
        <v>429</v>
      </c>
      <c r="I7" s="343" t="s">
        <v>396</v>
      </c>
      <c r="J7" s="341" t="s">
        <v>55</v>
      </c>
      <c r="K7" s="342" t="s">
        <v>429</v>
      </c>
      <c r="L7" s="343" t="s">
        <v>396</v>
      </c>
    </row>
    <row r="8" spans="1:12" ht="13.9" customHeight="1">
      <c r="C8" s="184" t="s">
        <v>397</v>
      </c>
      <c r="D8" s="344"/>
      <c r="E8" s="185"/>
      <c r="F8" s="186"/>
      <c r="G8" s="344"/>
      <c r="H8" s="185"/>
      <c r="I8" s="186"/>
      <c r="J8" s="344"/>
      <c r="K8" s="185"/>
      <c r="L8" s="186"/>
    </row>
    <row r="9" spans="1:12" ht="13.9" customHeight="1">
      <c r="C9" s="187" t="s">
        <v>398</v>
      </c>
      <c r="D9" s="188">
        <f>+Scheda_riepilogo_2024_!D9</f>
        <v>99</v>
      </c>
      <c r="E9" s="345">
        <f>+Scheda_riepilogo_2024_!E9</f>
        <v>670</v>
      </c>
      <c r="F9" s="346">
        <f>+Scheda_riepilogo_2024_!F9</f>
        <v>67670</v>
      </c>
      <c r="G9" s="188">
        <f>+Scheda_riepilogo_2025_!D9</f>
        <v>78</v>
      </c>
      <c r="H9" s="345">
        <f>+Scheda_riepilogo_2025_!E9</f>
        <v>699</v>
      </c>
      <c r="I9" s="190">
        <f>+Scheda_riepilogo_2025_!F9</f>
        <v>70397</v>
      </c>
      <c r="J9" s="188">
        <f>+Scheda_riepilogo_2026!D9</f>
        <v>0</v>
      </c>
      <c r="K9" s="345">
        <f>+Scheda_riepilogo_2026!E9</f>
        <v>769</v>
      </c>
      <c r="L9" s="190">
        <f>+Scheda_riepilogo_2026!F9</f>
        <v>77669</v>
      </c>
    </row>
    <row r="10" spans="1:12" ht="13.9" customHeight="1">
      <c r="B10" s="191"/>
      <c r="C10" s="197" t="s">
        <v>399</v>
      </c>
      <c r="D10" s="193">
        <f>+Scheda_riepilogo_2024_!D10</f>
        <v>0</v>
      </c>
      <c r="E10" s="347">
        <f>+Scheda_riepilogo_2024_!E10</f>
        <v>0</v>
      </c>
      <c r="F10" s="195">
        <f>+Scheda_riepilogo_2024_!F10</f>
        <v>0</v>
      </c>
      <c r="G10" s="193">
        <f>+Scheda_riepilogo_2025_!D10</f>
        <v>0</v>
      </c>
      <c r="H10" s="347">
        <f>+Scheda_riepilogo_2025_!E10</f>
        <v>0</v>
      </c>
      <c r="I10" s="195">
        <f>+Scheda_riepilogo_2025_!F10</f>
        <v>0</v>
      </c>
      <c r="J10" s="193">
        <f>+Scheda_riepilogo_2026!D10</f>
        <v>0</v>
      </c>
      <c r="K10" s="347">
        <f>+Scheda_riepilogo_2026!E10</f>
        <v>0</v>
      </c>
      <c r="L10" s="195">
        <f>+Scheda_riepilogo_2026!F10</f>
        <v>0</v>
      </c>
    </row>
    <row r="11" spans="1:12" ht="13.9" customHeight="1">
      <c r="B11" s="196" t="s">
        <v>340</v>
      </c>
      <c r="C11" s="197" t="s">
        <v>400</v>
      </c>
      <c r="D11" s="193">
        <f>+Scheda_riepilogo_2024_!D11</f>
        <v>9</v>
      </c>
      <c r="E11" s="347">
        <f>+Scheda_riepilogo_2024_!E11</f>
        <v>54</v>
      </c>
      <c r="F11" s="195">
        <f>+Scheda_riepilogo_2024_!F11</f>
        <v>4690</v>
      </c>
      <c r="G11" s="193">
        <f>+Scheda_riepilogo_2025_!D11</f>
        <v>2</v>
      </c>
      <c r="H11" s="347">
        <f>+Scheda_riepilogo_2025_!E11</f>
        <v>61</v>
      </c>
      <c r="I11" s="195">
        <f>+Scheda_riepilogo_2025_!F11</f>
        <v>5590</v>
      </c>
      <c r="J11" s="193">
        <f>+Scheda_riepilogo_2026!D11</f>
        <v>0</v>
      </c>
      <c r="K11" s="347">
        <f>+Scheda_riepilogo_2026!E11</f>
        <v>63</v>
      </c>
      <c r="L11" s="195">
        <f>+Scheda_riepilogo_2026!F11</f>
        <v>5681</v>
      </c>
    </row>
    <row r="12" spans="1:12" ht="13.9" customHeight="1">
      <c r="B12" s="196" t="s">
        <v>316</v>
      </c>
      <c r="C12" s="198" t="s">
        <v>401</v>
      </c>
      <c r="D12" s="199">
        <f>+Scheda_riepilogo_2024_!D12</f>
        <v>11</v>
      </c>
      <c r="E12" s="348">
        <f>+Scheda_riepilogo_2024_!E12</f>
        <v>16</v>
      </c>
      <c r="F12" s="201">
        <f>+Scheda_riepilogo_2024_!F12</f>
        <v>1600</v>
      </c>
      <c r="G12" s="199">
        <f>+Scheda_riepilogo_2025_!D12</f>
        <v>11</v>
      </c>
      <c r="H12" s="348">
        <f>+Scheda_riepilogo_2025_!E12</f>
        <v>16</v>
      </c>
      <c r="I12" s="201">
        <f>+Scheda_riepilogo_2025_!F12</f>
        <v>1600</v>
      </c>
      <c r="J12" s="199">
        <f>+Scheda_riepilogo_2026!D12</f>
        <v>0</v>
      </c>
      <c r="K12" s="348">
        <f>+Scheda_riepilogo_2026!E12</f>
        <v>27</v>
      </c>
      <c r="L12" s="201">
        <f>+Scheda_riepilogo_2026!F12</f>
        <v>2700</v>
      </c>
    </row>
    <row r="13" spans="1:12" ht="13.9" customHeight="1">
      <c r="B13" s="196"/>
      <c r="C13" s="202" t="s">
        <v>402</v>
      </c>
      <c r="D13" s="203">
        <f t="shared" ref="D13:L13" si="0">+SUM(D9:D12)</f>
        <v>119</v>
      </c>
      <c r="E13" s="349">
        <f t="shared" si="0"/>
        <v>740</v>
      </c>
      <c r="F13" s="205">
        <f t="shared" si="0"/>
        <v>73960</v>
      </c>
      <c r="G13" s="350">
        <f t="shared" si="0"/>
        <v>91</v>
      </c>
      <c r="H13" s="349">
        <f t="shared" si="0"/>
        <v>776</v>
      </c>
      <c r="I13" s="205">
        <f t="shared" si="0"/>
        <v>77587</v>
      </c>
      <c r="J13" s="350">
        <f t="shared" si="0"/>
        <v>0</v>
      </c>
      <c r="K13" s="349">
        <f t="shared" si="0"/>
        <v>859</v>
      </c>
      <c r="L13" s="205">
        <f t="shared" si="0"/>
        <v>86050</v>
      </c>
    </row>
    <row r="14" spans="1:12" ht="13.9" customHeight="1">
      <c r="B14" s="196"/>
      <c r="C14" s="206" t="s">
        <v>403</v>
      </c>
      <c r="D14" s="351"/>
      <c r="E14" s="257"/>
      <c r="F14" s="352"/>
      <c r="G14" s="351"/>
      <c r="H14" s="257"/>
      <c r="I14" s="352"/>
      <c r="J14" s="351"/>
      <c r="K14" s="257"/>
      <c r="L14" s="352"/>
    </row>
    <row r="15" spans="1:12" ht="13.9" customHeight="1">
      <c r="B15" s="196" t="s">
        <v>243</v>
      </c>
      <c r="C15" s="187" t="s">
        <v>404</v>
      </c>
      <c r="D15" s="188">
        <f>+Scheda_riepilogo_2024_!D15</f>
        <v>200</v>
      </c>
      <c r="E15" s="345">
        <f>+Scheda_riepilogo_2024_!E15</f>
        <v>1145</v>
      </c>
      <c r="F15" s="190">
        <f>+Scheda_riepilogo_2024_!F15</f>
        <v>51525</v>
      </c>
      <c r="G15" s="188">
        <f>+Scheda_riepilogo_2025_!D15</f>
        <v>50</v>
      </c>
      <c r="H15" s="345">
        <f>+Scheda_riepilogo_2025_!E15</f>
        <v>1295</v>
      </c>
      <c r="I15" s="190">
        <f>+Scheda_riepilogo_2025_!F15</f>
        <v>58275</v>
      </c>
      <c r="J15" s="188">
        <f>+Scheda_riepilogo_2026!D15</f>
        <v>0</v>
      </c>
      <c r="K15" s="345">
        <f>+Scheda_riepilogo_2026!E15</f>
        <v>1345</v>
      </c>
      <c r="L15" s="190">
        <f>+Scheda_riepilogo_2026!F15</f>
        <v>60525</v>
      </c>
    </row>
    <row r="16" spans="1:12" ht="13.9" customHeight="1">
      <c r="B16" s="196" t="s">
        <v>259</v>
      </c>
      <c r="C16" s="197" t="s">
        <v>405</v>
      </c>
      <c r="D16" s="193">
        <f>+Scheda_riepilogo_2024_!D16</f>
        <v>2</v>
      </c>
      <c r="E16" s="347">
        <f>+Scheda_riepilogo_2024_!E16</f>
        <v>229</v>
      </c>
      <c r="F16" s="195">
        <f>+Scheda_riepilogo_2024_!F16</f>
        <v>9596</v>
      </c>
      <c r="G16" s="193">
        <f>+Scheda_riepilogo_2025_!D16</f>
        <v>1</v>
      </c>
      <c r="H16" s="347">
        <f>+Scheda_riepilogo_2025_!E16</f>
        <v>230</v>
      </c>
      <c r="I16" s="195">
        <f>+Scheda_riepilogo_2025_!F16</f>
        <v>9641</v>
      </c>
      <c r="J16" s="193">
        <f>+Scheda_riepilogo_2026!D16</f>
        <v>0</v>
      </c>
      <c r="K16" s="347">
        <f>+Scheda_riepilogo_2026!E16</f>
        <v>231</v>
      </c>
      <c r="L16" s="195">
        <f>+Scheda_riepilogo_2026!F16</f>
        <v>9723</v>
      </c>
    </row>
    <row r="17" spans="2:12" ht="13.9" customHeight="1">
      <c r="B17" s="196" t="s">
        <v>252</v>
      </c>
      <c r="C17" s="197" t="s">
        <v>406</v>
      </c>
      <c r="D17" s="193">
        <f>+Scheda_riepilogo_2024_!D17</f>
        <v>0</v>
      </c>
      <c r="E17" s="347">
        <f>+Scheda_riepilogo_2024_!E17</f>
        <v>285</v>
      </c>
      <c r="F17" s="195">
        <f>+Scheda_riepilogo_2024_!F17</f>
        <v>10200</v>
      </c>
      <c r="G17" s="193">
        <f>+Scheda_riepilogo_2025_!D17</f>
        <v>0</v>
      </c>
      <c r="H17" s="347">
        <f>+Scheda_riepilogo_2025_!E17</f>
        <v>285</v>
      </c>
      <c r="I17" s="195">
        <f>+Scheda_riepilogo_2025_!F17</f>
        <v>10200</v>
      </c>
      <c r="J17" s="193">
        <f>+Scheda_riepilogo_2026!D17</f>
        <v>0</v>
      </c>
      <c r="K17" s="347">
        <f>+Scheda_riepilogo_2026!E17</f>
        <v>285</v>
      </c>
      <c r="L17" s="195">
        <f>+Scheda_riepilogo_2026!F17</f>
        <v>10200</v>
      </c>
    </row>
    <row r="18" spans="2:12" ht="13.9" customHeight="1">
      <c r="B18" s="196" t="s">
        <v>262</v>
      </c>
      <c r="C18" s="197" t="s">
        <v>407</v>
      </c>
      <c r="D18" s="193">
        <f>+Scheda_riepilogo_2024_!D18</f>
        <v>7</v>
      </c>
      <c r="E18" s="347">
        <f>+Scheda_riepilogo_2024_!E18</f>
        <v>30</v>
      </c>
      <c r="F18" s="195">
        <f>+Scheda_riepilogo_2024_!F18</f>
        <v>1282</v>
      </c>
      <c r="G18" s="193">
        <f>+Scheda_riepilogo_2025_!D18</f>
        <v>3</v>
      </c>
      <c r="H18" s="347">
        <f>+Scheda_riepilogo_2025_!E18</f>
        <v>34</v>
      </c>
      <c r="I18" s="195">
        <f>+Scheda_riepilogo_2025_!F18</f>
        <v>1452</v>
      </c>
      <c r="J18" s="193">
        <f>+Scheda_riepilogo_2026!D18</f>
        <v>0</v>
      </c>
      <c r="K18" s="347">
        <f>+Scheda_riepilogo_2026!E18</f>
        <v>37</v>
      </c>
      <c r="L18" s="195">
        <f>+Scheda_riepilogo_2026!F18</f>
        <v>1581</v>
      </c>
    </row>
    <row r="19" spans="2:12" ht="13.9" customHeight="1">
      <c r="B19" s="196" t="s">
        <v>361</v>
      </c>
      <c r="C19" s="197" t="s">
        <v>408</v>
      </c>
      <c r="D19" s="193">
        <f>+Scheda_riepilogo_2024_!D19</f>
        <v>36</v>
      </c>
      <c r="E19" s="347">
        <f>+Scheda_riepilogo_2024_!E19</f>
        <v>155</v>
      </c>
      <c r="F19" s="195">
        <f>+Scheda_riepilogo_2024_!F19</f>
        <v>5485</v>
      </c>
      <c r="G19" s="193">
        <f>+Scheda_riepilogo_2025_!D19</f>
        <v>25</v>
      </c>
      <c r="H19" s="347">
        <f>+Scheda_riepilogo_2025_!E19</f>
        <v>166</v>
      </c>
      <c r="I19" s="195">
        <f>+Scheda_riepilogo_2025_!F19</f>
        <v>5884</v>
      </c>
      <c r="J19" s="193">
        <f>+Scheda_riepilogo_2026!D19</f>
        <v>0</v>
      </c>
      <c r="K19" s="347">
        <f>+Scheda_riepilogo_2026!E19</f>
        <v>191</v>
      </c>
      <c r="L19" s="195">
        <f>+Scheda_riepilogo_2026!F19</f>
        <v>6751</v>
      </c>
    </row>
    <row r="20" spans="2:12" ht="13.9" customHeight="1">
      <c r="B20" s="196" t="s">
        <v>313</v>
      </c>
      <c r="C20" s="210" t="s">
        <v>409</v>
      </c>
      <c r="D20" s="211">
        <f>+Scheda_riepilogo_2024_!D20</f>
        <v>22</v>
      </c>
      <c r="E20" s="353">
        <f>+Scheda_riepilogo_2024_!E20</f>
        <v>96</v>
      </c>
      <c r="F20" s="213">
        <f>+Scheda_riepilogo_2024_!F20</f>
        <v>3457</v>
      </c>
      <c r="G20" s="211">
        <f>+Scheda_riepilogo_2025_!D20</f>
        <v>9</v>
      </c>
      <c r="H20" s="353">
        <f>+Scheda_riepilogo_2025_!E20</f>
        <v>109</v>
      </c>
      <c r="I20" s="213">
        <f>+Scheda_riepilogo_2025_!F20</f>
        <v>3917</v>
      </c>
      <c r="J20" s="211">
        <f>+Scheda_riepilogo_2026!D20</f>
        <v>0</v>
      </c>
      <c r="K20" s="353">
        <f>+Scheda_riepilogo_2026!E20</f>
        <v>118</v>
      </c>
      <c r="L20" s="213">
        <f>+Scheda_riepilogo_2026!F20</f>
        <v>4232</v>
      </c>
    </row>
    <row r="21" spans="2:12" ht="13.9" customHeight="1">
      <c r="C21" s="214" t="s">
        <v>410</v>
      </c>
      <c r="D21" s="215">
        <f t="shared" ref="D21:L21" si="1">+SUM(D15:D20)</f>
        <v>267</v>
      </c>
      <c r="E21" s="354">
        <f t="shared" si="1"/>
        <v>1940</v>
      </c>
      <c r="F21" s="217">
        <f t="shared" si="1"/>
        <v>81545</v>
      </c>
      <c r="G21" s="215">
        <f t="shared" si="1"/>
        <v>88</v>
      </c>
      <c r="H21" s="354">
        <f t="shared" si="1"/>
        <v>2119</v>
      </c>
      <c r="I21" s="355">
        <f t="shared" si="1"/>
        <v>89369</v>
      </c>
      <c r="J21" s="215">
        <f t="shared" si="1"/>
        <v>0</v>
      </c>
      <c r="K21" s="354">
        <f t="shared" si="1"/>
        <v>2207</v>
      </c>
      <c r="L21" s="355">
        <f t="shared" si="1"/>
        <v>93012</v>
      </c>
    </row>
    <row r="22" spans="2:12" ht="13.9" customHeight="1">
      <c r="C22" s="258" t="s">
        <v>430</v>
      </c>
      <c r="D22" s="259">
        <f t="shared" ref="D22:L22" si="2">+SUM(D21+D13)</f>
        <v>386</v>
      </c>
      <c r="E22" s="356">
        <f t="shared" si="2"/>
        <v>2680</v>
      </c>
      <c r="F22" s="221">
        <f t="shared" si="2"/>
        <v>155505</v>
      </c>
      <c r="G22" s="259">
        <f t="shared" si="2"/>
        <v>179</v>
      </c>
      <c r="H22" s="356">
        <f t="shared" si="2"/>
        <v>2895</v>
      </c>
      <c r="I22" s="357">
        <f t="shared" si="2"/>
        <v>166956</v>
      </c>
      <c r="J22" s="259">
        <f t="shared" si="2"/>
        <v>0</v>
      </c>
      <c r="K22" s="356">
        <f t="shared" si="2"/>
        <v>3066</v>
      </c>
      <c r="L22" s="357">
        <f t="shared" si="2"/>
        <v>179062</v>
      </c>
    </row>
    <row r="23" spans="2:12">
      <c r="C23" s="93"/>
      <c r="D23" s="93"/>
      <c r="E23" s="93"/>
      <c r="F23" s="93"/>
      <c r="G23" s="93"/>
      <c r="H23" s="93"/>
      <c r="I23" s="93"/>
      <c r="J23" s="93"/>
      <c r="K23" s="93"/>
      <c r="L23" s="93"/>
    </row>
  </sheetData>
  <mergeCells count="6">
    <mergeCell ref="D4:L4"/>
    <mergeCell ref="C5:C7"/>
    <mergeCell ref="D5:F5"/>
    <mergeCell ref="G5:I5"/>
    <mergeCell ref="J5:L5"/>
    <mergeCell ref="D6:L6"/>
  </mergeCells>
  <pageMargins left="0.7" right="0.7" top="0.75" bottom="0.75" header="0.51180555555555496" footer="0.51180555555555496"/>
  <pageSetup paperSize="9" scale="32"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showGridLines="0" zoomScale="110" zoomScaleNormal="110" zoomScalePageLayoutView="120" workbookViewId="0">
      <pane ySplit="1" topLeftCell="A5" activePane="bottomLeft" state="frozen"/>
      <selection pane="bottomLeft" activeCell="A7" sqref="A7"/>
    </sheetView>
  </sheetViews>
  <sheetFormatPr defaultColWidth="8.85546875" defaultRowHeight="15"/>
  <cols>
    <col min="1" max="1" width="155.85546875" style="16" customWidth="1"/>
    <col min="2" max="256" width="8.85546875" style="16"/>
    <col min="257" max="257" width="146.7109375" style="16" customWidth="1"/>
    <col min="258" max="512" width="8.85546875" style="16"/>
    <col min="513" max="513" width="146.7109375" style="16" customWidth="1"/>
    <col min="514" max="768" width="8.85546875" style="16"/>
    <col min="769" max="769" width="146.7109375" style="16" customWidth="1"/>
    <col min="770" max="1024" width="8.85546875" style="16"/>
  </cols>
  <sheetData>
    <row r="1" spans="1:1" ht="27" customHeight="1">
      <c r="A1" s="17" t="s">
        <v>2</v>
      </c>
    </row>
    <row r="2" spans="1:1" ht="28.5" customHeight="1">
      <c r="A2" s="18" t="s">
        <v>3</v>
      </c>
    </row>
    <row r="3" spans="1:1" ht="23.25" customHeight="1">
      <c r="A3" s="19" t="s">
        <v>4</v>
      </c>
    </row>
    <row r="4" spans="1:1" ht="48.75" customHeight="1">
      <c r="A4" s="19" t="s">
        <v>5</v>
      </c>
    </row>
    <row r="5" spans="1:1" ht="48.75" customHeight="1">
      <c r="A5" s="19" t="s">
        <v>6</v>
      </c>
    </row>
    <row r="6" spans="1:1" ht="48.75" customHeight="1">
      <c r="A6" s="19" t="s">
        <v>7</v>
      </c>
    </row>
    <row r="7" spans="1:1" ht="51">
      <c r="A7" s="19" t="s">
        <v>8</v>
      </c>
    </row>
    <row r="8" spans="1:1" ht="48.75" customHeight="1">
      <c r="A8" s="19" t="s">
        <v>9</v>
      </c>
    </row>
    <row r="9" spans="1:1" ht="63.75">
      <c r="A9" s="19" t="s">
        <v>10</v>
      </c>
    </row>
    <row r="10" spans="1:1" ht="48.75" customHeight="1">
      <c r="A10" s="19" t="s">
        <v>11</v>
      </c>
    </row>
    <row r="11" spans="1:1" ht="48.75" customHeight="1">
      <c r="A11" s="19" t="s">
        <v>12</v>
      </c>
    </row>
    <row r="12" spans="1:1" ht="9.6" customHeight="1">
      <c r="A12" s="19"/>
    </row>
    <row r="13" spans="1:1" ht="25.5">
      <c r="A13" s="20" t="s">
        <v>13</v>
      </c>
    </row>
    <row r="14" spans="1:1" ht="16.5" customHeight="1">
      <c r="A14" s="19"/>
    </row>
    <row r="15" spans="1:1" ht="25.5">
      <c r="A15" s="20" t="s">
        <v>14</v>
      </c>
    </row>
  </sheetData>
  <pageMargins left="0.23611111111111099" right="0.23611111111111099" top="0.39374999999999999" bottom="0.39374999999999999" header="0.51180555555555496" footer="0.51180555555555496"/>
  <pageSetup paperSize="9" scale="76"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zoomScale="110" zoomScaleNormal="110" workbookViewId="0">
      <selection activeCell="E20" sqref="E20"/>
    </sheetView>
  </sheetViews>
  <sheetFormatPr defaultColWidth="8.7109375" defaultRowHeight="15"/>
  <cols>
    <col min="2" max="2" width="17.85546875" customWidth="1"/>
  </cols>
  <sheetData>
    <row r="1" spans="1:2">
      <c r="A1" s="21"/>
      <c r="B1" s="22"/>
    </row>
    <row r="2" spans="1:2">
      <c r="A2" s="21" t="s">
        <v>15</v>
      </c>
      <c r="B2" s="22" t="s">
        <v>16</v>
      </c>
    </row>
    <row r="3" spans="1:2">
      <c r="A3" s="21" t="s">
        <v>17</v>
      </c>
      <c r="B3" s="22" t="s">
        <v>18</v>
      </c>
    </row>
    <row r="4" spans="1:2">
      <c r="A4" s="21" t="s">
        <v>19</v>
      </c>
      <c r="B4" s="22" t="s">
        <v>20</v>
      </c>
    </row>
    <row r="5" spans="1:2">
      <c r="A5" s="21" t="s">
        <v>21</v>
      </c>
      <c r="B5" s="22" t="s">
        <v>22</v>
      </c>
    </row>
    <row r="6" spans="1:2">
      <c r="A6" s="21" t="s">
        <v>23</v>
      </c>
      <c r="B6" s="22" t="s">
        <v>24</v>
      </c>
    </row>
    <row r="7" spans="1:2">
      <c r="A7" s="21" t="s">
        <v>25</v>
      </c>
      <c r="B7" s="22" t="s">
        <v>26</v>
      </c>
    </row>
    <row r="8" spans="1:2">
      <c r="A8" s="21" t="s">
        <v>27</v>
      </c>
      <c r="B8" s="22" t="s">
        <v>28</v>
      </c>
    </row>
    <row r="9" spans="1:2">
      <c r="A9" s="21" t="s">
        <v>29</v>
      </c>
      <c r="B9" s="22" t="s">
        <v>30</v>
      </c>
    </row>
    <row r="10" spans="1:2">
      <c r="A10" s="21" t="s">
        <v>31</v>
      </c>
      <c r="B10" s="22" t="s">
        <v>32</v>
      </c>
    </row>
    <row r="11" spans="1:2">
      <c r="A11" s="21" t="s">
        <v>33</v>
      </c>
      <c r="B11" s="22" t="s">
        <v>34</v>
      </c>
    </row>
    <row r="12" spans="1:2">
      <c r="A12" s="21" t="s">
        <v>35</v>
      </c>
      <c r="B12" s="22" t="s">
        <v>36</v>
      </c>
    </row>
    <row r="13" spans="1:2">
      <c r="A13" s="21" t="s">
        <v>37</v>
      </c>
      <c r="B13" s="22" t="s">
        <v>38</v>
      </c>
    </row>
    <row r="14" spans="1:2">
      <c r="A14" s="21" t="s">
        <v>39</v>
      </c>
      <c r="B14" s="22" t="s">
        <v>40</v>
      </c>
    </row>
    <row r="15" spans="1:2">
      <c r="A15" s="21" t="s">
        <v>41</v>
      </c>
      <c r="B15" s="22" t="s">
        <v>42</v>
      </c>
    </row>
    <row r="16" spans="1:2">
      <c r="A16" s="21" t="s">
        <v>43</v>
      </c>
      <c r="B16" s="22" t="s">
        <v>44</v>
      </c>
    </row>
    <row r="17" spans="1:2">
      <c r="A17" s="21" t="s">
        <v>45</v>
      </c>
      <c r="B17" s="22" t="s">
        <v>1</v>
      </c>
    </row>
    <row r="18" spans="1:2">
      <c r="A18" s="21" t="s">
        <v>46</v>
      </c>
      <c r="B18" s="22" t="s">
        <v>47</v>
      </c>
    </row>
    <row r="19" spans="1:2">
      <c r="A19" s="23" t="s">
        <v>48</v>
      </c>
      <c r="B19" s="24" t="s">
        <v>49</v>
      </c>
    </row>
  </sheetData>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G95"/>
  <sheetViews>
    <sheetView showGridLines="0" zoomScale="110" zoomScaleNormal="110" zoomScalePageLayoutView="70" workbookViewId="0">
      <pane xSplit="2" ySplit="9" topLeftCell="C16" activePane="bottomRight" state="frozen"/>
      <selection pane="topRight" activeCell="C1" sqref="C1"/>
      <selection pane="bottomLeft" activeCell="A52" sqref="A52"/>
      <selection pane="bottomRight" activeCell="C27" sqref="C27"/>
    </sheetView>
  </sheetViews>
  <sheetFormatPr defaultColWidth="9.140625" defaultRowHeight="15"/>
  <cols>
    <col min="1" max="1" width="10.28515625" style="25" customWidth="1"/>
    <col min="2" max="2" width="49.5703125" style="25" customWidth="1"/>
    <col min="3" max="6" width="12.42578125" style="25" customWidth="1"/>
    <col min="7" max="7" width="18" style="25" customWidth="1"/>
    <col min="8" max="8" width="12.7109375" style="26" customWidth="1"/>
    <col min="9" max="10" width="18" style="25" customWidth="1"/>
    <col min="11" max="11" width="0.7109375" style="25" customWidth="1"/>
    <col min="12" max="12" width="37.7109375" style="25" customWidth="1"/>
    <col min="13" max="13" width="1.85546875" style="27" customWidth="1"/>
    <col min="14" max="1021" width="9.140625" style="25"/>
  </cols>
  <sheetData>
    <row r="1" spans="1:13">
      <c r="A1" s="28" t="s">
        <v>50</v>
      </c>
      <c r="B1" s="29" t="str">
        <f>+Copertina!F20</f>
        <v xml:space="preserve">AO Civico </v>
      </c>
      <c r="C1" s="26"/>
      <c r="D1" s="26"/>
      <c r="E1" s="26"/>
      <c r="F1" s="26"/>
      <c r="G1" s="26"/>
      <c r="H1" s="30"/>
    </row>
    <row r="2" spans="1:13" ht="15" customHeight="1">
      <c r="A2" s="31" t="str">
        <f>"Piano del Fabbisogno 2024 "&amp;B1</f>
        <v xml:space="preserve">Piano del Fabbisogno 2024 AO Civico </v>
      </c>
      <c r="B2" s="32"/>
      <c r="C2" s="33"/>
      <c r="D2" s="33"/>
      <c r="E2" s="33"/>
      <c r="F2" s="33"/>
      <c r="G2" s="33"/>
      <c r="H2" s="33"/>
      <c r="I2" s="32"/>
      <c r="J2" s="32"/>
      <c r="K2" s="33"/>
      <c r="L2" s="34"/>
      <c r="M2" s="35"/>
    </row>
    <row r="3" spans="1:13" ht="16.5" customHeight="1">
      <c r="A3" s="36" t="s">
        <v>51</v>
      </c>
      <c r="B3" s="37"/>
      <c r="C3" s="37"/>
      <c r="D3" s="37"/>
      <c r="E3" s="37"/>
      <c r="F3" s="37"/>
      <c r="G3" s="37"/>
      <c r="H3" s="37"/>
      <c r="I3" s="37"/>
      <c r="J3" s="37"/>
      <c r="K3" s="37"/>
      <c r="L3" s="38"/>
      <c r="M3" s="39"/>
    </row>
    <row r="4" spans="1:13" ht="87.75" customHeight="1">
      <c r="A4" s="368" t="s">
        <v>52</v>
      </c>
      <c r="B4" s="368"/>
      <c r="C4" s="40" t="s">
        <v>453</v>
      </c>
      <c r="D4" s="41" t="s">
        <v>434</v>
      </c>
      <c r="E4" s="41" t="s">
        <v>439</v>
      </c>
      <c r="F4" s="42" t="s">
        <v>53</v>
      </c>
      <c r="G4" s="43" t="s">
        <v>54</v>
      </c>
      <c r="H4" s="44" t="s">
        <v>55</v>
      </c>
      <c r="I4" s="45" t="s">
        <v>56</v>
      </c>
      <c r="J4" s="46" t="s">
        <v>57</v>
      </c>
      <c r="K4" s="47"/>
      <c r="L4" s="48" t="s">
        <v>61</v>
      </c>
      <c r="M4" s="49"/>
    </row>
    <row r="5" spans="1:13" ht="22.15" customHeight="1">
      <c r="A5" s="368"/>
      <c r="B5" s="368"/>
      <c r="C5" s="40" t="s">
        <v>62</v>
      </c>
      <c r="D5" s="50" t="s">
        <v>63</v>
      </c>
      <c r="E5" s="50" t="s">
        <v>64</v>
      </c>
      <c r="F5" s="42" t="s">
        <v>65</v>
      </c>
      <c r="G5" s="48" t="s">
        <v>66</v>
      </c>
      <c r="H5" s="51" t="s">
        <v>67</v>
      </c>
      <c r="I5" s="52" t="s">
        <v>68</v>
      </c>
      <c r="J5" s="53" t="s">
        <v>69</v>
      </c>
      <c r="K5" s="54"/>
      <c r="L5" s="55"/>
    </row>
    <row r="6" spans="1:13" s="61" customFormat="1" ht="3" customHeight="1">
      <c r="A6" s="56"/>
      <c r="B6" s="56"/>
      <c r="C6" s="57"/>
      <c r="D6" s="58"/>
      <c r="E6" s="58"/>
      <c r="F6" s="58"/>
      <c r="G6" s="57"/>
      <c r="H6" s="49"/>
      <c r="I6" s="58"/>
      <c r="J6" s="59"/>
      <c r="K6" s="58"/>
      <c r="L6" s="60"/>
      <c r="M6" s="27"/>
    </row>
    <row r="7" spans="1:13" ht="15" customHeight="1">
      <c r="A7" s="369" t="s">
        <v>73</v>
      </c>
      <c r="B7" s="369"/>
      <c r="C7" s="62">
        <f>+C9+'Altri profili_2024_'!C6</f>
        <v>2314</v>
      </c>
      <c r="D7" s="63">
        <f>+D9+'Altri profili_2024_'!D6</f>
        <v>366</v>
      </c>
      <c r="E7" s="63">
        <f>+E9+'Altri profili_2024_'!E6</f>
        <v>2680</v>
      </c>
      <c r="F7" s="64">
        <f>+F9+'Altri profili_2024_'!F6</f>
        <v>155505</v>
      </c>
      <c r="G7" s="65">
        <f>+G9+'Altri profili_2024_'!G6</f>
        <v>0</v>
      </c>
      <c r="H7" s="62">
        <f>+H9+'Altri profili_2024_'!H6</f>
        <v>386</v>
      </c>
      <c r="I7" s="63">
        <f>+I9+'Altri profili_2024_'!I6</f>
        <v>169</v>
      </c>
      <c r="J7" s="64">
        <f>+J9+'Altri profili_2024_'!J6</f>
        <v>217</v>
      </c>
      <c r="K7" s="49"/>
      <c r="L7" s="68"/>
    </row>
    <row r="8" spans="1:13" s="61" customFormat="1" ht="3" customHeight="1">
      <c r="A8" s="56"/>
      <c r="B8" s="56"/>
      <c r="C8" s="69"/>
      <c r="D8" s="49"/>
      <c r="E8" s="49"/>
      <c r="F8" s="49"/>
      <c r="G8" s="70"/>
      <c r="H8" s="49"/>
      <c r="I8" s="49"/>
      <c r="J8" s="71"/>
      <c r="K8" s="49"/>
      <c r="L8" s="73"/>
      <c r="M8" s="27"/>
    </row>
    <row r="9" spans="1:13" ht="15" customHeight="1">
      <c r="A9" s="370" t="s">
        <v>74</v>
      </c>
      <c r="B9" s="370"/>
      <c r="C9" s="62">
        <f t="shared" ref="C9:J9" si="0">+SUM(C10:C79)</f>
        <v>623</v>
      </c>
      <c r="D9" s="74">
        <f t="shared" si="0"/>
        <v>47</v>
      </c>
      <c r="E9" s="63">
        <f t="shared" si="0"/>
        <v>670</v>
      </c>
      <c r="F9" s="64">
        <f t="shared" si="0"/>
        <v>67670</v>
      </c>
      <c r="G9" s="75">
        <f t="shared" si="0"/>
        <v>0</v>
      </c>
      <c r="H9" s="76">
        <f t="shared" si="0"/>
        <v>99</v>
      </c>
      <c r="I9" s="63">
        <f t="shared" si="0"/>
        <v>1</v>
      </c>
      <c r="J9" s="64">
        <f t="shared" si="0"/>
        <v>98</v>
      </c>
      <c r="K9" s="77"/>
      <c r="L9" s="68"/>
      <c r="M9" s="79"/>
    </row>
    <row r="10" spans="1:13" s="93" customFormat="1" ht="11.25">
      <c r="A10" s="80" t="s">
        <v>75</v>
      </c>
      <c r="B10" s="81" t="s">
        <v>76</v>
      </c>
      <c r="C10" s="82">
        <v>2</v>
      </c>
      <c r="D10" s="83"/>
      <c r="E10" s="84">
        <f t="shared" ref="E10:E41" si="1">+D10+C10</f>
        <v>2</v>
      </c>
      <c r="F10" s="85">
        <f>+E10*101</f>
        <v>202</v>
      </c>
      <c r="G10" s="85"/>
      <c r="H10" s="86">
        <f>3-E10</f>
        <v>1</v>
      </c>
      <c r="I10" s="83"/>
      <c r="J10" s="87">
        <f t="shared" ref="J10:J41" si="2">H10-I10</f>
        <v>1</v>
      </c>
      <c r="K10" s="88"/>
      <c r="L10" s="85"/>
      <c r="M10" s="92"/>
    </row>
    <row r="11" spans="1:13" s="93" customFormat="1" ht="11.25">
      <c r="A11" s="94" t="s">
        <v>77</v>
      </c>
      <c r="B11" s="95" t="s">
        <v>78</v>
      </c>
      <c r="C11" s="96"/>
      <c r="D11" s="97"/>
      <c r="E11" s="84">
        <f t="shared" si="1"/>
        <v>0</v>
      </c>
      <c r="F11" s="98"/>
      <c r="G11" s="98"/>
      <c r="H11" s="99"/>
      <c r="I11" s="97"/>
      <c r="J11" s="100">
        <f t="shared" si="2"/>
        <v>0</v>
      </c>
      <c r="K11" s="88"/>
      <c r="L11" s="98"/>
      <c r="M11" s="92"/>
    </row>
    <row r="12" spans="1:13" s="93" customFormat="1" ht="11.25">
      <c r="A12" s="94" t="s">
        <v>79</v>
      </c>
      <c r="B12" s="95" t="s">
        <v>80</v>
      </c>
      <c r="C12" s="96">
        <v>33</v>
      </c>
      <c r="D12" s="97">
        <v>5</v>
      </c>
      <c r="E12" s="84">
        <f t="shared" si="1"/>
        <v>38</v>
      </c>
      <c r="F12" s="98">
        <f>101*E12</f>
        <v>3838</v>
      </c>
      <c r="G12" s="98"/>
      <c r="H12" s="99">
        <f>43-E12</f>
        <v>5</v>
      </c>
      <c r="I12" s="97">
        <v>0</v>
      </c>
      <c r="J12" s="100">
        <f t="shared" si="2"/>
        <v>5</v>
      </c>
      <c r="K12" s="88"/>
      <c r="L12" s="98"/>
      <c r="M12" s="92"/>
    </row>
    <row r="13" spans="1:13" s="93" customFormat="1" ht="11.25">
      <c r="A13" s="94" t="s">
        <v>81</v>
      </c>
      <c r="B13" s="95" t="s">
        <v>82</v>
      </c>
      <c r="C13" s="96">
        <v>2</v>
      </c>
      <c r="D13" s="97"/>
      <c r="E13" s="84">
        <f t="shared" si="1"/>
        <v>2</v>
      </c>
      <c r="F13" s="98">
        <f>101*E13</f>
        <v>202</v>
      </c>
      <c r="G13" s="98"/>
      <c r="H13" s="99">
        <f>3-E13</f>
        <v>1</v>
      </c>
      <c r="I13" s="97">
        <v>1</v>
      </c>
      <c r="J13" s="100">
        <f t="shared" si="2"/>
        <v>0</v>
      </c>
      <c r="K13" s="104"/>
      <c r="L13" s="98"/>
      <c r="M13" s="92"/>
    </row>
    <row r="14" spans="1:13" s="93" customFormat="1" ht="11.25">
      <c r="A14" s="94" t="s">
        <v>83</v>
      </c>
      <c r="B14" s="95" t="s">
        <v>84</v>
      </c>
      <c r="C14" s="96">
        <v>18</v>
      </c>
      <c r="D14" s="97">
        <v>1</v>
      </c>
      <c r="E14" s="84">
        <f t="shared" si="1"/>
        <v>19</v>
      </c>
      <c r="F14" s="98">
        <f>101*E14</f>
        <v>1919</v>
      </c>
      <c r="G14" s="98"/>
      <c r="H14" s="99">
        <f>19-E14</f>
        <v>0</v>
      </c>
      <c r="I14" s="97">
        <v>0</v>
      </c>
      <c r="J14" s="100">
        <f t="shared" si="2"/>
        <v>0</v>
      </c>
      <c r="K14" s="104"/>
      <c r="L14" s="98"/>
      <c r="M14" s="92"/>
    </row>
    <row r="15" spans="1:13" s="93" customFormat="1" ht="11.25">
      <c r="A15" s="94" t="s">
        <v>85</v>
      </c>
      <c r="B15" s="95" t="s">
        <v>86</v>
      </c>
      <c r="C15" s="96"/>
      <c r="D15" s="97"/>
      <c r="E15" s="84">
        <f t="shared" si="1"/>
        <v>0</v>
      </c>
      <c r="F15" s="98"/>
      <c r="G15" s="98"/>
      <c r="H15" s="99"/>
      <c r="I15" s="97"/>
      <c r="J15" s="100">
        <f t="shared" si="2"/>
        <v>0</v>
      </c>
      <c r="K15" s="104"/>
      <c r="L15" s="98"/>
      <c r="M15" s="92"/>
    </row>
    <row r="16" spans="1:13" s="93" customFormat="1" ht="11.25">
      <c r="A16" s="94" t="s">
        <v>87</v>
      </c>
      <c r="B16" s="95" t="s">
        <v>88</v>
      </c>
      <c r="C16" s="96">
        <v>10</v>
      </c>
      <c r="D16" s="97"/>
      <c r="E16" s="84">
        <f t="shared" si="1"/>
        <v>10</v>
      </c>
      <c r="F16" s="98">
        <f>+E16*101</f>
        <v>1010</v>
      </c>
      <c r="G16" s="98"/>
      <c r="H16" s="99">
        <f>10-E16</f>
        <v>0</v>
      </c>
      <c r="I16" s="97"/>
      <c r="J16" s="100">
        <f t="shared" si="2"/>
        <v>0</v>
      </c>
      <c r="K16" s="104"/>
      <c r="L16" s="98"/>
      <c r="M16" s="92"/>
    </row>
    <row r="17" spans="1:13" s="93" customFormat="1" ht="11.25">
      <c r="A17" s="94" t="s">
        <v>89</v>
      </c>
      <c r="B17" s="95" t="s">
        <v>90</v>
      </c>
      <c r="C17" s="96"/>
      <c r="D17" s="97"/>
      <c r="E17" s="84">
        <f t="shared" si="1"/>
        <v>0</v>
      </c>
      <c r="F17" s="98"/>
      <c r="G17" s="98"/>
      <c r="H17" s="99"/>
      <c r="I17" s="97"/>
      <c r="J17" s="100">
        <f t="shared" si="2"/>
        <v>0</v>
      </c>
      <c r="K17" s="104"/>
      <c r="L17" s="98"/>
      <c r="M17" s="92"/>
    </row>
    <row r="18" spans="1:13" s="93" customFormat="1" ht="11.25">
      <c r="A18" s="94" t="s">
        <v>91</v>
      </c>
      <c r="B18" s="95" t="s">
        <v>92</v>
      </c>
      <c r="C18" s="96"/>
      <c r="D18" s="97"/>
      <c r="E18" s="84">
        <f t="shared" si="1"/>
        <v>0</v>
      </c>
      <c r="F18" s="98"/>
      <c r="G18" s="98"/>
      <c r="H18" s="99"/>
      <c r="I18" s="97"/>
      <c r="J18" s="100">
        <f t="shared" si="2"/>
        <v>0</v>
      </c>
      <c r="K18" s="104"/>
      <c r="L18" s="98"/>
      <c r="M18" s="92"/>
    </row>
    <row r="19" spans="1:13" s="93" customFormat="1" ht="11.25">
      <c r="A19" s="94" t="s">
        <v>93</v>
      </c>
      <c r="B19" s="95" t="s">
        <v>94</v>
      </c>
      <c r="C19" s="96"/>
      <c r="D19" s="97"/>
      <c r="E19" s="84">
        <f t="shared" si="1"/>
        <v>0</v>
      </c>
      <c r="F19" s="98"/>
      <c r="G19" s="98"/>
      <c r="H19" s="99"/>
      <c r="I19" s="97"/>
      <c r="J19" s="100">
        <f t="shared" si="2"/>
        <v>0</v>
      </c>
      <c r="K19" s="104"/>
      <c r="L19" s="98"/>
      <c r="M19" s="92"/>
    </row>
    <row r="20" spans="1:13" s="93" customFormat="1" ht="11.25">
      <c r="A20" s="94" t="s">
        <v>95</v>
      </c>
      <c r="B20" s="95" t="s">
        <v>96</v>
      </c>
      <c r="C20" s="96">
        <v>19</v>
      </c>
      <c r="D20" s="97">
        <v>3</v>
      </c>
      <c r="E20" s="84">
        <f t="shared" si="1"/>
        <v>22</v>
      </c>
      <c r="F20" s="98">
        <f>+E20*101</f>
        <v>2222</v>
      </c>
      <c r="G20" s="98"/>
      <c r="H20" s="99">
        <v>2</v>
      </c>
      <c r="I20" s="97"/>
      <c r="J20" s="100">
        <f t="shared" si="2"/>
        <v>2</v>
      </c>
      <c r="K20" s="104"/>
      <c r="L20" s="98"/>
      <c r="M20" s="92"/>
    </row>
    <row r="21" spans="1:13" s="93" customFormat="1" ht="11.25">
      <c r="A21" s="94" t="s">
        <v>97</v>
      </c>
      <c r="B21" s="95" t="s">
        <v>98</v>
      </c>
      <c r="C21" s="96">
        <v>19</v>
      </c>
      <c r="D21" s="97">
        <v>3</v>
      </c>
      <c r="E21" s="84">
        <f t="shared" si="1"/>
        <v>22</v>
      </c>
      <c r="F21" s="98">
        <f>+E21*101</f>
        <v>2222</v>
      </c>
      <c r="G21" s="98"/>
      <c r="H21" s="99">
        <v>2</v>
      </c>
      <c r="I21" s="97"/>
      <c r="J21" s="100">
        <f t="shared" si="2"/>
        <v>2</v>
      </c>
      <c r="K21" s="104"/>
      <c r="L21" s="98"/>
      <c r="M21" s="92"/>
    </row>
    <row r="22" spans="1:13" s="93" customFormat="1" ht="11.25">
      <c r="A22" s="94" t="s">
        <v>99</v>
      </c>
      <c r="B22" s="95" t="s">
        <v>100</v>
      </c>
      <c r="C22" s="96">
        <v>35</v>
      </c>
      <c r="D22" s="97">
        <v>1</v>
      </c>
      <c r="E22" s="84">
        <f t="shared" si="1"/>
        <v>36</v>
      </c>
      <c r="F22" s="98">
        <f>101*E22</f>
        <v>3636</v>
      </c>
      <c r="G22" s="98"/>
      <c r="H22" s="99">
        <v>0</v>
      </c>
      <c r="I22" s="97"/>
      <c r="J22" s="100">
        <f t="shared" si="2"/>
        <v>0</v>
      </c>
      <c r="K22" s="104"/>
      <c r="L22" s="98"/>
      <c r="M22" s="92"/>
    </row>
    <row r="23" spans="1:13" s="93" customFormat="1" ht="11.25">
      <c r="A23" s="94" t="s">
        <v>101</v>
      </c>
      <c r="B23" s="95" t="s">
        <v>102</v>
      </c>
      <c r="C23" s="96">
        <v>0</v>
      </c>
      <c r="D23" s="97"/>
      <c r="E23" s="84">
        <f t="shared" si="1"/>
        <v>0</v>
      </c>
      <c r="F23" s="98">
        <f t="shared" ref="F23:F24" si="3">101*E23</f>
        <v>0</v>
      </c>
      <c r="G23" s="98"/>
      <c r="H23" s="99">
        <v>3</v>
      </c>
      <c r="I23" s="97"/>
      <c r="J23" s="100">
        <f t="shared" si="2"/>
        <v>3</v>
      </c>
      <c r="K23" s="104"/>
      <c r="L23" s="98"/>
      <c r="M23" s="92"/>
    </row>
    <row r="24" spans="1:13" s="93" customFormat="1" ht="11.25">
      <c r="A24" s="94" t="s">
        <v>103</v>
      </c>
      <c r="B24" s="95" t="s">
        <v>104</v>
      </c>
      <c r="C24" s="96">
        <v>35</v>
      </c>
      <c r="D24" s="97">
        <v>2</v>
      </c>
      <c r="E24" s="84">
        <f t="shared" si="1"/>
        <v>37</v>
      </c>
      <c r="F24" s="98">
        <f t="shared" si="3"/>
        <v>3737</v>
      </c>
      <c r="G24" s="98"/>
      <c r="H24" s="99">
        <f>40-E24</f>
        <v>3</v>
      </c>
      <c r="I24" s="97"/>
      <c r="J24" s="100">
        <f t="shared" si="2"/>
        <v>3</v>
      </c>
      <c r="K24" s="104"/>
      <c r="L24" s="98"/>
      <c r="M24" s="92"/>
    </row>
    <row r="25" spans="1:13" s="93" customFormat="1" ht="11.25">
      <c r="A25" s="94" t="s">
        <v>105</v>
      </c>
      <c r="B25" s="95" t="s">
        <v>106</v>
      </c>
      <c r="C25" s="96"/>
      <c r="D25" s="97"/>
      <c r="E25" s="84">
        <f t="shared" si="1"/>
        <v>0</v>
      </c>
      <c r="F25" s="98"/>
      <c r="G25" s="98"/>
      <c r="H25" s="99"/>
      <c r="I25" s="97"/>
      <c r="J25" s="100">
        <f t="shared" si="2"/>
        <v>0</v>
      </c>
      <c r="K25" s="104"/>
      <c r="L25" s="98"/>
      <c r="M25" s="92"/>
    </row>
    <row r="26" spans="1:13" s="93" customFormat="1" ht="11.25">
      <c r="A26" s="94" t="s">
        <v>107</v>
      </c>
      <c r="B26" s="95" t="s">
        <v>108</v>
      </c>
      <c r="C26" s="96">
        <v>19</v>
      </c>
      <c r="D26" s="97">
        <v>2</v>
      </c>
      <c r="E26" s="84">
        <f t="shared" si="1"/>
        <v>21</v>
      </c>
      <c r="F26" s="98">
        <f>101*E26</f>
        <v>2121</v>
      </c>
      <c r="G26" s="98"/>
      <c r="H26" s="99"/>
      <c r="I26" s="97"/>
      <c r="J26" s="100">
        <f t="shared" si="2"/>
        <v>0</v>
      </c>
      <c r="K26" s="104"/>
      <c r="L26" s="98"/>
      <c r="M26" s="92"/>
    </row>
    <row r="27" spans="1:13" s="93" customFormat="1" ht="11.25">
      <c r="A27" s="94" t="s">
        <v>109</v>
      </c>
      <c r="B27" s="95" t="s">
        <v>110</v>
      </c>
      <c r="C27" s="96">
        <v>13</v>
      </c>
      <c r="D27" s="97"/>
      <c r="E27" s="84">
        <f t="shared" si="1"/>
        <v>13</v>
      </c>
      <c r="F27" s="98">
        <f>101*E27</f>
        <v>1313</v>
      </c>
      <c r="G27" s="98"/>
      <c r="H27" s="99">
        <f>15-E27</f>
        <v>2</v>
      </c>
      <c r="I27" s="97">
        <v>0</v>
      </c>
      <c r="J27" s="100">
        <f t="shared" si="2"/>
        <v>2</v>
      </c>
      <c r="K27" s="104"/>
      <c r="L27" s="98"/>
      <c r="M27" s="92"/>
    </row>
    <row r="28" spans="1:13" s="93" customFormat="1" ht="11.25">
      <c r="A28" s="94" t="s">
        <v>111</v>
      </c>
      <c r="B28" s="95" t="s">
        <v>112</v>
      </c>
      <c r="C28" s="96">
        <v>13</v>
      </c>
      <c r="D28" s="97"/>
      <c r="E28" s="84">
        <f t="shared" si="1"/>
        <v>13</v>
      </c>
      <c r="F28" s="98">
        <f>101*E28</f>
        <v>1313</v>
      </c>
      <c r="G28" s="98"/>
      <c r="H28" s="99">
        <f>13-E28</f>
        <v>0</v>
      </c>
      <c r="I28" s="97"/>
      <c r="J28" s="100">
        <f t="shared" si="2"/>
        <v>0</v>
      </c>
      <c r="K28" s="104"/>
      <c r="L28" s="98"/>
      <c r="M28" s="92"/>
    </row>
    <row r="29" spans="1:13" s="93" customFormat="1" ht="11.25">
      <c r="A29" s="94" t="s">
        <v>113</v>
      </c>
      <c r="B29" s="95" t="s">
        <v>114</v>
      </c>
      <c r="C29" s="96">
        <v>4</v>
      </c>
      <c r="D29" s="97"/>
      <c r="E29" s="84">
        <f t="shared" si="1"/>
        <v>4</v>
      </c>
      <c r="F29" s="98">
        <f>101*E29</f>
        <v>404</v>
      </c>
      <c r="G29" s="98"/>
      <c r="H29" s="99">
        <f>9-E29</f>
        <v>5</v>
      </c>
      <c r="I29" s="97"/>
      <c r="J29" s="100">
        <f t="shared" si="2"/>
        <v>5</v>
      </c>
      <c r="K29" s="104"/>
      <c r="L29" s="98"/>
      <c r="M29" s="92"/>
    </row>
    <row r="30" spans="1:13" s="93" customFormat="1" ht="11.25">
      <c r="A30" s="94" t="s">
        <v>115</v>
      </c>
      <c r="B30" s="95" t="s">
        <v>116</v>
      </c>
      <c r="C30" s="96">
        <f>11+2</f>
        <v>13</v>
      </c>
      <c r="D30" s="97"/>
      <c r="E30" s="84">
        <f t="shared" si="1"/>
        <v>13</v>
      </c>
      <c r="F30" s="98">
        <f>+E30*101</f>
        <v>1313</v>
      </c>
      <c r="G30" s="98"/>
      <c r="H30" s="99">
        <v>5</v>
      </c>
      <c r="I30" s="97"/>
      <c r="J30" s="100">
        <f t="shared" si="2"/>
        <v>5</v>
      </c>
      <c r="K30" s="104"/>
      <c r="L30" s="98"/>
      <c r="M30" s="92"/>
    </row>
    <row r="31" spans="1:13" s="93" customFormat="1" ht="11.25">
      <c r="A31" s="94" t="s">
        <v>117</v>
      </c>
      <c r="B31" s="95" t="s">
        <v>118</v>
      </c>
      <c r="C31" s="96">
        <v>40</v>
      </c>
      <c r="D31" s="97">
        <v>10</v>
      </c>
      <c r="E31" s="84">
        <f t="shared" si="1"/>
        <v>50</v>
      </c>
      <c r="F31" s="98">
        <f>101*E31</f>
        <v>5050</v>
      </c>
      <c r="G31" s="98"/>
      <c r="H31" s="99">
        <v>4</v>
      </c>
      <c r="I31" s="97"/>
      <c r="J31" s="100">
        <f t="shared" si="2"/>
        <v>4</v>
      </c>
      <c r="K31" s="104"/>
      <c r="L31" s="98"/>
      <c r="M31" s="92"/>
    </row>
    <row r="32" spans="1:13" s="93" customFormat="1" ht="11.25">
      <c r="A32" s="94" t="s">
        <v>119</v>
      </c>
      <c r="B32" s="95" t="s">
        <v>120</v>
      </c>
      <c r="C32" s="96"/>
      <c r="D32" s="97"/>
      <c r="E32" s="84">
        <f t="shared" si="1"/>
        <v>0</v>
      </c>
      <c r="F32" s="98"/>
      <c r="G32" s="98"/>
      <c r="H32" s="99"/>
      <c r="I32" s="97"/>
      <c r="J32" s="100">
        <f t="shared" si="2"/>
        <v>0</v>
      </c>
      <c r="K32" s="104"/>
      <c r="L32" s="98"/>
      <c r="M32" s="92"/>
    </row>
    <row r="33" spans="1:13" s="93" customFormat="1" ht="11.25">
      <c r="A33" s="94" t="s">
        <v>121</v>
      </c>
      <c r="B33" s="95" t="s">
        <v>122</v>
      </c>
      <c r="C33" s="96">
        <v>6</v>
      </c>
      <c r="D33" s="97">
        <v>1</v>
      </c>
      <c r="E33" s="84">
        <f t="shared" si="1"/>
        <v>7</v>
      </c>
      <c r="F33" s="98">
        <f>101*E33</f>
        <v>707</v>
      </c>
      <c r="G33" s="98"/>
      <c r="H33" s="99">
        <f>8-E33</f>
        <v>1</v>
      </c>
      <c r="I33" s="97"/>
      <c r="J33" s="100">
        <f t="shared" si="2"/>
        <v>1</v>
      </c>
      <c r="K33" s="104"/>
      <c r="L33" s="98"/>
      <c r="M33" s="92"/>
    </row>
    <row r="34" spans="1:13" s="93" customFormat="1" ht="11.25">
      <c r="A34" s="94" t="s">
        <v>123</v>
      </c>
      <c r="B34" s="95" t="s">
        <v>124</v>
      </c>
      <c r="C34" s="96">
        <v>2</v>
      </c>
      <c r="D34" s="97"/>
      <c r="E34" s="84">
        <f t="shared" si="1"/>
        <v>2</v>
      </c>
      <c r="F34" s="98">
        <f>101*E34</f>
        <v>202</v>
      </c>
      <c r="G34" s="98"/>
      <c r="H34" s="99">
        <v>1</v>
      </c>
      <c r="I34" s="97"/>
      <c r="J34" s="100">
        <f t="shared" si="2"/>
        <v>1</v>
      </c>
      <c r="K34" s="104"/>
      <c r="L34" s="98"/>
      <c r="M34" s="92"/>
    </row>
    <row r="35" spans="1:13" s="93" customFormat="1" ht="11.25">
      <c r="A35" s="94" t="s">
        <v>125</v>
      </c>
      <c r="B35" s="95" t="s">
        <v>126</v>
      </c>
      <c r="C35" s="96"/>
      <c r="D35" s="97"/>
      <c r="E35" s="84">
        <f t="shared" si="1"/>
        <v>0</v>
      </c>
      <c r="F35" s="98"/>
      <c r="G35" s="98"/>
      <c r="H35" s="99">
        <v>9</v>
      </c>
      <c r="I35" s="97">
        <v>0</v>
      </c>
      <c r="J35" s="100">
        <f t="shared" si="2"/>
        <v>9</v>
      </c>
      <c r="K35" s="104"/>
      <c r="L35" s="98"/>
      <c r="M35" s="92"/>
    </row>
    <row r="36" spans="1:13" s="93" customFormat="1" ht="11.25">
      <c r="A36" s="94" t="s">
        <v>127</v>
      </c>
      <c r="B36" s="95" t="s">
        <v>128</v>
      </c>
      <c r="C36" s="96">
        <v>21</v>
      </c>
      <c r="D36" s="97"/>
      <c r="E36" s="84">
        <f t="shared" si="1"/>
        <v>21</v>
      </c>
      <c r="F36" s="98">
        <f>+E36*101</f>
        <v>2121</v>
      </c>
      <c r="G36" s="98"/>
      <c r="H36" s="99">
        <f>30-E36</f>
        <v>9</v>
      </c>
      <c r="I36" s="97"/>
      <c r="J36" s="100">
        <f t="shared" si="2"/>
        <v>9</v>
      </c>
      <c r="K36" s="104"/>
      <c r="L36" s="98"/>
      <c r="M36" s="92"/>
    </row>
    <row r="37" spans="1:13" s="93" customFormat="1" ht="11.25">
      <c r="A37" s="94" t="s">
        <v>129</v>
      </c>
      <c r="B37" s="95" t="s">
        <v>130</v>
      </c>
      <c r="C37" s="96">
        <v>7</v>
      </c>
      <c r="D37" s="97"/>
      <c r="E37" s="84">
        <f t="shared" si="1"/>
        <v>7</v>
      </c>
      <c r="F37" s="98">
        <f t="shared" ref="F37:F49" si="4">101*E37</f>
        <v>707</v>
      </c>
      <c r="G37" s="98"/>
      <c r="H37" s="99">
        <f>9-E37</f>
        <v>2</v>
      </c>
      <c r="I37" s="97"/>
      <c r="J37" s="100">
        <f t="shared" si="2"/>
        <v>2</v>
      </c>
      <c r="K37" s="104"/>
      <c r="L37" s="98"/>
      <c r="M37" s="92"/>
    </row>
    <row r="38" spans="1:13" s="93" customFormat="1" ht="11.25">
      <c r="A38" s="94" t="s">
        <v>131</v>
      </c>
      <c r="B38" s="95" t="s">
        <v>132</v>
      </c>
      <c r="C38" s="96">
        <v>6</v>
      </c>
      <c r="D38" s="97">
        <v>5</v>
      </c>
      <c r="E38" s="84">
        <f t="shared" si="1"/>
        <v>11</v>
      </c>
      <c r="F38" s="98">
        <f t="shared" si="4"/>
        <v>1111</v>
      </c>
      <c r="G38" s="98"/>
      <c r="H38" s="99">
        <f>11-E38</f>
        <v>0</v>
      </c>
      <c r="I38" s="97">
        <v>0</v>
      </c>
      <c r="J38" s="100">
        <f t="shared" si="2"/>
        <v>0</v>
      </c>
      <c r="K38" s="104"/>
      <c r="L38" s="98"/>
      <c r="M38" s="92"/>
    </row>
    <row r="39" spans="1:13" s="93" customFormat="1" ht="11.25">
      <c r="A39" s="94" t="s">
        <v>133</v>
      </c>
      <c r="B39" s="95" t="s">
        <v>134</v>
      </c>
      <c r="C39" s="96">
        <v>14</v>
      </c>
      <c r="D39" s="97"/>
      <c r="E39" s="84">
        <f t="shared" si="1"/>
        <v>14</v>
      </c>
      <c r="F39" s="98">
        <f t="shared" si="4"/>
        <v>1414</v>
      </c>
      <c r="G39" s="98"/>
      <c r="H39" s="99">
        <v>7</v>
      </c>
      <c r="I39" s="97"/>
      <c r="J39" s="100">
        <f t="shared" si="2"/>
        <v>7</v>
      </c>
      <c r="K39" s="104"/>
      <c r="L39" s="98"/>
      <c r="M39" s="92"/>
    </row>
    <row r="40" spans="1:13" s="93" customFormat="1" ht="11.25">
      <c r="A40" s="94" t="s">
        <v>135</v>
      </c>
      <c r="B40" s="95" t="s">
        <v>136</v>
      </c>
      <c r="C40" s="96">
        <v>7</v>
      </c>
      <c r="D40" s="97"/>
      <c r="E40" s="84">
        <f t="shared" si="1"/>
        <v>7</v>
      </c>
      <c r="F40" s="98">
        <f t="shared" si="4"/>
        <v>707</v>
      </c>
      <c r="G40" s="98"/>
      <c r="H40" s="99">
        <v>2</v>
      </c>
      <c r="I40" s="97"/>
      <c r="J40" s="100">
        <f t="shared" si="2"/>
        <v>2</v>
      </c>
      <c r="K40" s="104"/>
      <c r="L40" s="98"/>
      <c r="M40" s="92"/>
    </row>
    <row r="41" spans="1:13" s="93" customFormat="1" ht="11.25">
      <c r="A41" s="94" t="s">
        <v>137</v>
      </c>
      <c r="B41" s="95" t="s">
        <v>138</v>
      </c>
      <c r="C41" s="96">
        <v>12</v>
      </c>
      <c r="D41" s="97"/>
      <c r="E41" s="84">
        <f t="shared" si="1"/>
        <v>12</v>
      </c>
      <c r="F41" s="98">
        <f t="shared" si="4"/>
        <v>1212</v>
      </c>
      <c r="G41" s="98"/>
      <c r="H41" s="99">
        <f>13-E41</f>
        <v>1</v>
      </c>
      <c r="I41" s="97"/>
      <c r="J41" s="100">
        <f t="shared" si="2"/>
        <v>1</v>
      </c>
      <c r="K41" s="104"/>
      <c r="L41" s="98"/>
      <c r="M41" s="92"/>
    </row>
    <row r="42" spans="1:13" s="93" customFormat="1" ht="11.25">
      <c r="A42" s="94" t="s">
        <v>139</v>
      </c>
      <c r="B42" s="95" t="s">
        <v>140</v>
      </c>
      <c r="C42" s="96">
        <v>26</v>
      </c>
      <c r="D42" s="97">
        <v>2</v>
      </c>
      <c r="E42" s="84">
        <f t="shared" ref="E42:E73" si="5">+D42+C42</f>
        <v>28</v>
      </c>
      <c r="F42" s="98">
        <f t="shared" si="4"/>
        <v>2828</v>
      </c>
      <c r="G42" s="98"/>
      <c r="H42" s="99">
        <v>2</v>
      </c>
      <c r="I42" s="97"/>
      <c r="J42" s="100">
        <f t="shared" ref="J42:J73" si="6">H42-I42</f>
        <v>2</v>
      </c>
      <c r="K42" s="104"/>
      <c r="L42" s="98"/>
      <c r="M42" s="92"/>
    </row>
    <row r="43" spans="1:13" s="93" customFormat="1" ht="11.25">
      <c r="A43" s="94" t="s">
        <v>141</v>
      </c>
      <c r="B43" s="95" t="s">
        <v>142</v>
      </c>
      <c r="C43" s="96">
        <v>15</v>
      </c>
      <c r="D43" s="97">
        <v>1</v>
      </c>
      <c r="E43" s="84">
        <f t="shared" si="5"/>
        <v>16</v>
      </c>
      <c r="F43" s="98">
        <f t="shared" si="4"/>
        <v>1616</v>
      </c>
      <c r="G43" s="98"/>
      <c r="H43" s="99">
        <v>1</v>
      </c>
      <c r="I43" s="97">
        <v>0</v>
      </c>
      <c r="J43" s="100">
        <f t="shared" si="6"/>
        <v>1</v>
      </c>
      <c r="K43" s="104"/>
      <c r="L43" s="98"/>
      <c r="M43" s="92"/>
    </row>
    <row r="44" spans="1:13" s="93" customFormat="1" ht="11.25">
      <c r="A44" s="94" t="s">
        <v>143</v>
      </c>
      <c r="B44" s="95" t="s">
        <v>144</v>
      </c>
      <c r="C44" s="96">
        <v>9</v>
      </c>
      <c r="D44" s="97"/>
      <c r="E44" s="84">
        <f t="shared" si="5"/>
        <v>9</v>
      </c>
      <c r="F44" s="98">
        <f t="shared" si="4"/>
        <v>909</v>
      </c>
      <c r="G44" s="98"/>
      <c r="H44" s="99">
        <f>9-E44</f>
        <v>0</v>
      </c>
      <c r="I44" s="97"/>
      <c r="J44" s="100">
        <f t="shared" si="6"/>
        <v>0</v>
      </c>
      <c r="K44" s="104"/>
      <c r="L44" s="98"/>
      <c r="M44" s="92"/>
    </row>
    <row r="45" spans="1:13" s="93" customFormat="1" ht="11.25">
      <c r="A45" s="94" t="s">
        <v>145</v>
      </c>
      <c r="B45" s="95" t="s">
        <v>146</v>
      </c>
      <c r="C45" s="96">
        <v>12</v>
      </c>
      <c r="D45" s="97"/>
      <c r="E45" s="84">
        <f t="shared" si="5"/>
        <v>12</v>
      </c>
      <c r="F45" s="98">
        <f t="shared" si="4"/>
        <v>1212</v>
      </c>
      <c r="G45" s="98"/>
      <c r="H45" s="99">
        <v>4</v>
      </c>
      <c r="I45" s="97"/>
      <c r="J45" s="100">
        <f t="shared" si="6"/>
        <v>4</v>
      </c>
      <c r="K45" s="104"/>
      <c r="L45" s="98"/>
      <c r="M45" s="92"/>
    </row>
    <row r="46" spans="1:13" s="93" customFormat="1" ht="11.25">
      <c r="A46" s="94" t="s">
        <v>147</v>
      </c>
      <c r="B46" s="95" t="s">
        <v>148</v>
      </c>
      <c r="C46" s="96">
        <v>8</v>
      </c>
      <c r="D46" s="97"/>
      <c r="E46" s="84">
        <f t="shared" si="5"/>
        <v>8</v>
      </c>
      <c r="F46" s="98">
        <f t="shared" si="4"/>
        <v>808</v>
      </c>
      <c r="G46" s="98"/>
      <c r="H46" s="99">
        <f>11-E46</f>
        <v>3</v>
      </c>
      <c r="I46" s="97"/>
      <c r="J46" s="100">
        <f t="shared" si="6"/>
        <v>3</v>
      </c>
      <c r="K46" s="104"/>
      <c r="L46" s="98"/>
      <c r="M46" s="92"/>
    </row>
    <row r="47" spans="1:13" s="93" customFormat="1" ht="11.25">
      <c r="A47" s="94" t="s">
        <v>149</v>
      </c>
      <c r="B47" s="95" t="s">
        <v>150</v>
      </c>
      <c r="C47" s="96">
        <v>11</v>
      </c>
      <c r="D47" s="97"/>
      <c r="E47" s="84">
        <f t="shared" si="5"/>
        <v>11</v>
      </c>
      <c r="F47" s="98">
        <f t="shared" si="4"/>
        <v>1111</v>
      </c>
      <c r="G47" s="98"/>
      <c r="H47" s="99"/>
      <c r="I47" s="97">
        <v>0</v>
      </c>
      <c r="J47" s="100">
        <f t="shared" si="6"/>
        <v>0</v>
      </c>
      <c r="K47" s="104"/>
      <c r="L47" s="98"/>
      <c r="M47" s="92"/>
    </row>
    <row r="48" spans="1:13" s="93" customFormat="1" ht="11.25">
      <c r="A48" s="94" t="s">
        <v>151</v>
      </c>
      <c r="B48" s="95" t="s">
        <v>152</v>
      </c>
      <c r="C48" s="96">
        <v>8</v>
      </c>
      <c r="D48" s="97"/>
      <c r="E48" s="84">
        <f t="shared" si="5"/>
        <v>8</v>
      </c>
      <c r="F48" s="98">
        <f t="shared" si="4"/>
        <v>808</v>
      </c>
      <c r="G48" s="98"/>
      <c r="H48" s="99">
        <f>8-E48</f>
        <v>0</v>
      </c>
      <c r="I48" s="97">
        <v>0</v>
      </c>
      <c r="J48" s="100">
        <f t="shared" si="6"/>
        <v>0</v>
      </c>
      <c r="K48" s="104"/>
      <c r="L48" s="98"/>
      <c r="M48" s="92"/>
    </row>
    <row r="49" spans="1:13" s="93" customFormat="1" ht="11.25">
      <c r="A49" s="94" t="s">
        <v>153</v>
      </c>
      <c r="B49" s="95" t="s">
        <v>154</v>
      </c>
      <c r="C49" s="96">
        <v>94</v>
      </c>
      <c r="D49" s="97">
        <v>8</v>
      </c>
      <c r="E49" s="84">
        <f t="shared" si="5"/>
        <v>102</v>
      </c>
      <c r="F49" s="98">
        <f t="shared" si="4"/>
        <v>10302</v>
      </c>
      <c r="G49" s="98"/>
      <c r="H49" s="99">
        <v>3</v>
      </c>
      <c r="I49" s="97">
        <v>0</v>
      </c>
      <c r="J49" s="100">
        <f t="shared" si="6"/>
        <v>3</v>
      </c>
      <c r="K49" s="104"/>
      <c r="L49" s="98"/>
      <c r="M49" s="92"/>
    </row>
    <row r="50" spans="1:13" s="93" customFormat="1" ht="11.25">
      <c r="A50" s="94" t="s">
        <v>155</v>
      </c>
      <c r="B50" s="95" t="s">
        <v>156</v>
      </c>
      <c r="C50" s="96"/>
      <c r="D50" s="97"/>
      <c r="E50" s="84">
        <f t="shared" si="5"/>
        <v>0</v>
      </c>
      <c r="F50" s="98"/>
      <c r="G50" s="98"/>
      <c r="H50" s="99"/>
      <c r="I50" s="97"/>
      <c r="J50" s="100">
        <f t="shared" si="6"/>
        <v>0</v>
      </c>
      <c r="K50" s="104"/>
      <c r="L50" s="98"/>
      <c r="M50" s="92"/>
    </row>
    <row r="51" spans="1:13" s="93" customFormat="1" ht="11.25">
      <c r="A51" s="94" t="s">
        <v>157</v>
      </c>
      <c r="B51" s="95" t="s">
        <v>158</v>
      </c>
      <c r="C51" s="96"/>
      <c r="D51" s="97"/>
      <c r="E51" s="84">
        <f t="shared" si="5"/>
        <v>0</v>
      </c>
      <c r="F51" s="98"/>
      <c r="G51" s="98"/>
      <c r="H51" s="99"/>
      <c r="I51" s="97"/>
      <c r="J51" s="100">
        <f t="shared" si="6"/>
        <v>0</v>
      </c>
      <c r="K51" s="104"/>
      <c r="L51" s="98"/>
      <c r="M51" s="92"/>
    </row>
    <row r="52" spans="1:13" s="93" customFormat="1" ht="11.25">
      <c r="A52" s="94" t="s">
        <v>159</v>
      </c>
      <c r="B52" s="95" t="s">
        <v>160</v>
      </c>
      <c r="C52" s="96"/>
      <c r="D52" s="97"/>
      <c r="E52" s="84">
        <f t="shared" si="5"/>
        <v>0</v>
      </c>
      <c r="F52" s="98"/>
      <c r="G52" s="98"/>
      <c r="H52" s="99"/>
      <c r="I52" s="97"/>
      <c r="J52" s="100">
        <f t="shared" si="6"/>
        <v>0</v>
      </c>
      <c r="K52" s="104"/>
      <c r="L52" s="98"/>
      <c r="M52" s="92"/>
    </row>
    <row r="53" spans="1:13" s="93" customFormat="1" ht="11.25">
      <c r="A53" s="94" t="s">
        <v>161</v>
      </c>
      <c r="B53" s="95" t="s">
        <v>162</v>
      </c>
      <c r="C53" s="96">
        <v>8</v>
      </c>
      <c r="D53" s="97">
        <v>3</v>
      </c>
      <c r="E53" s="84">
        <f t="shared" si="5"/>
        <v>11</v>
      </c>
      <c r="F53" s="98">
        <f>101*E53</f>
        <v>1111</v>
      </c>
      <c r="G53" s="98"/>
      <c r="H53" s="99">
        <f>11-E53</f>
        <v>0</v>
      </c>
      <c r="I53" s="97">
        <v>0</v>
      </c>
      <c r="J53" s="100">
        <f t="shared" si="6"/>
        <v>0</v>
      </c>
      <c r="K53" s="104"/>
      <c r="L53" s="98"/>
      <c r="M53" s="92"/>
    </row>
    <row r="54" spans="1:13" s="93" customFormat="1" ht="11.25">
      <c r="A54" s="94" t="s">
        <v>163</v>
      </c>
      <c r="B54" s="95" t="s">
        <v>164</v>
      </c>
      <c r="C54" s="96"/>
      <c r="D54" s="97"/>
      <c r="E54" s="84">
        <f t="shared" si="5"/>
        <v>0</v>
      </c>
      <c r="F54" s="98">
        <f t="shared" ref="F54:F58" si="7">101*E54</f>
        <v>0</v>
      </c>
      <c r="G54" s="98"/>
      <c r="H54" s="99">
        <v>1</v>
      </c>
      <c r="I54" s="97">
        <v>0</v>
      </c>
      <c r="J54" s="100">
        <f t="shared" si="6"/>
        <v>1</v>
      </c>
      <c r="K54" s="104"/>
      <c r="L54" s="98"/>
      <c r="M54" s="92"/>
    </row>
    <row r="55" spans="1:13" s="93" customFormat="1" ht="11.25">
      <c r="A55" s="94" t="s">
        <v>165</v>
      </c>
      <c r="B55" s="95" t="s">
        <v>166</v>
      </c>
      <c r="C55" s="96">
        <v>7</v>
      </c>
      <c r="D55" s="97"/>
      <c r="E55" s="84">
        <f t="shared" si="5"/>
        <v>7</v>
      </c>
      <c r="F55" s="98">
        <f t="shared" si="7"/>
        <v>707</v>
      </c>
      <c r="G55" s="98"/>
      <c r="H55" s="99">
        <f>7-E55</f>
        <v>0</v>
      </c>
      <c r="I55" s="97"/>
      <c r="J55" s="100">
        <f t="shared" si="6"/>
        <v>0</v>
      </c>
      <c r="K55" s="104"/>
      <c r="L55" s="98"/>
      <c r="M55" s="92"/>
    </row>
    <row r="56" spans="1:13" s="93" customFormat="1" ht="11.25">
      <c r="A56" s="94" t="s">
        <v>167</v>
      </c>
      <c r="B56" s="95" t="s">
        <v>168</v>
      </c>
      <c r="C56" s="96">
        <v>4</v>
      </c>
      <c r="D56" s="97"/>
      <c r="E56" s="84">
        <f t="shared" si="5"/>
        <v>4</v>
      </c>
      <c r="F56" s="98">
        <f t="shared" si="7"/>
        <v>404</v>
      </c>
      <c r="G56" s="98"/>
      <c r="H56" s="99">
        <v>1</v>
      </c>
      <c r="I56" s="97">
        <v>0</v>
      </c>
      <c r="J56" s="100">
        <f t="shared" si="6"/>
        <v>1</v>
      </c>
      <c r="K56" s="104"/>
      <c r="L56" s="98"/>
      <c r="M56" s="92"/>
    </row>
    <row r="57" spans="1:13" s="93" customFormat="1" ht="11.25">
      <c r="A57" s="94" t="s">
        <v>169</v>
      </c>
      <c r="B57" s="95" t="s">
        <v>170</v>
      </c>
      <c r="C57" s="96"/>
      <c r="D57" s="97"/>
      <c r="E57" s="84">
        <f t="shared" si="5"/>
        <v>0</v>
      </c>
      <c r="F57" s="98">
        <f t="shared" si="7"/>
        <v>0</v>
      </c>
      <c r="G57" s="98"/>
      <c r="H57" s="99"/>
      <c r="I57" s="97"/>
      <c r="J57" s="100">
        <f t="shared" si="6"/>
        <v>0</v>
      </c>
      <c r="K57" s="104"/>
      <c r="L57" s="98"/>
      <c r="M57" s="92"/>
    </row>
    <row r="58" spans="1:13" s="93" customFormat="1" ht="11.25">
      <c r="A58" s="94" t="s">
        <v>171</v>
      </c>
      <c r="B58" s="95" t="s">
        <v>172</v>
      </c>
      <c r="C58" s="96">
        <v>10</v>
      </c>
      <c r="D58" s="97"/>
      <c r="E58" s="84">
        <f t="shared" si="5"/>
        <v>10</v>
      </c>
      <c r="F58" s="98">
        <f t="shared" si="7"/>
        <v>1010</v>
      </c>
      <c r="G58" s="98"/>
      <c r="H58" s="99">
        <f>11-E58</f>
        <v>1</v>
      </c>
      <c r="I58" s="97">
        <v>0</v>
      </c>
      <c r="J58" s="100">
        <f t="shared" si="6"/>
        <v>1</v>
      </c>
      <c r="K58" s="104"/>
      <c r="L58" s="98"/>
      <c r="M58" s="92"/>
    </row>
    <row r="59" spans="1:13" s="93" customFormat="1" ht="11.25">
      <c r="A59" s="94" t="s">
        <v>173</v>
      </c>
      <c r="B59" s="95" t="s">
        <v>174</v>
      </c>
      <c r="C59" s="96">
        <v>5</v>
      </c>
      <c r="D59" s="97"/>
      <c r="E59" s="84">
        <f t="shared" si="5"/>
        <v>5</v>
      </c>
      <c r="F59" s="98">
        <f>101*E59</f>
        <v>505</v>
      </c>
      <c r="G59" s="98"/>
      <c r="H59" s="99">
        <f>9-E59</f>
        <v>4</v>
      </c>
      <c r="I59" s="97">
        <v>0</v>
      </c>
      <c r="J59" s="100">
        <f t="shared" si="6"/>
        <v>4</v>
      </c>
      <c r="K59" s="104"/>
      <c r="L59" s="98"/>
      <c r="M59" s="92"/>
    </row>
    <row r="60" spans="1:13" s="93" customFormat="1" ht="11.25">
      <c r="A60" s="94" t="s">
        <v>175</v>
      </c>
      <c r="B60" s="95" t="s">
        <v>176</v>
      </c>
      <c r="C60" s="96">
        <v>34</v>
      </c>
      <c r="D60" s="97"/>
      <c r="E60" s="84">
        <f t="shared" si="5"/>
        <v>34</v>
      </c>
      <c r="F60" s="98">
        <f>101*E60</f>
        <v>3434</v>
      </c>
      <c r="G60" s="98"/>
      <c r="H60" s="99">
        <f>43-E60</f>
        <v>9</v>
      </c>
      <c r="I60" s="97"/>
      <c r="J60" s="100">
        <f t="shared" si="6"/>
        <v>9</v>
      </c>
      <c r="K60" s="104"/>
      <c r="L60" s="98"/>
      <c r="M60" s="92"/>
    </row>
    <row r="61" spans="1:13" s="93" customFormat="1" ht="11.25">
      <c r="A61" s="94" t="s">
        <v>177</v>
      </c>
      <c r="B61" s="95" t="s">
        <v>178</v>
      </c>
      <c r="C61" s="96"/>
      <c r="D61" s="97"/>
      <c r="E61" s="84">
        <f t="shared" si="5"/>
        <v>0</v>
      </c>
      <c r="F61" s="98"/>
      <c r="G61" s="98"/>
      <c r="H61" s="99"/>
      <c r="I61" s="97"/>
      <c r="J61" s="100">
        <f t="shared" si="6"/>
        <v>0</v>
      </c>
      <c r="K61" s="104"/>
      <c r="L61" s="98"/>
      <c r="M61" s="92"/>
    </row>
    <row r="62" spans="1:13" s="93" customFormat="1" ht="11.25">
      <c r="A62" s="94" t="s">
        <v>179</v>
      </c>
      <c r="B62" s="95" t="s">
        <v>180</v>
      </c>
      <c r="C62" s="96"/>
      <c r="D62" s="97"/>
      <c r="E62" s="84">
        <f t="shared" si="5"/>
        <v>0</v>
      </c>
      <c r="F62" s="98"/>
      <c r="G62" s="98"/>
      <c r="H62" s="99"/>
      <c r="I62" s="97"/>
      <c r="J62" s="100">
        <f t="shared" si="6"/>
        <v>0</v>
      </c>
      <c r="K62" s="104"/>
      <c r="L62" s="98"/>
      <c r="M62" s="92"/>
    </row>
    <row r="63" spans="1:13" s="93" customFormat="1" ht="11.25">
      <c r="A63" s="94" t="s">
        <v>181</v>
      </c>
      <c r="B63" s="95" t="s">
        <v>182</v>
      </c>
      <c r="C63" s="96">
        <v>2</v>
      </c>
      <c r="D63" s="97"/>
      <c r="E63" s="84">
        <f t="shared" si="5"/>
        <v>2</v>
      </c>
      <c r="F63" s="98">
        <f>101*E63</f>
        <v>202</v>
      </c>
      <c r="G63" s="98"/>
      <c r="H63" s="99">
        <v>0</v>
      </c>
      <c r="I63" s="97">
        <v>0</v>
      </c>
      <c r="J63" s="100">
        <f t="shared" si="6"/>
        <v>0</v>
      </c>
      <c r="K63" s="104"/>
      <c r="L63" s="98"/>
      <c r="M63" s="92"/>
    </row>
    <row r="64" spans="1:13" s="93" customFormat="1" ht="11.25">
      <c r="A64" s="94" t="s">
        <v>183</v>
      </c>
      <c r="B64" s="95" t="s">
        <v>184</v>
      </c>
      <c r="C64" s="96"/>
      <c r="D64" s="97"/>
      <c r="E64" s="84">
        <f t="shared" si="5"/>
        <v>0</v>
      </c>
      <c r="F64" s="98"/>
      <c r="G64" s="98"/>
      <c r="H64" s="99"/>
      <c r="I64" s="97"/>
      <c r="J64" s="100">
        <f t="shared" si="6"/>
        <v>0</v>
      </c>
      <c r="K64" s="104"/>
      <c r="L64" s="98"/>
      <c r="M64" s="92"/>
    </row>
    <row r="65" spans="1:13" s="93" customFormat="1" ht="33.75">
      <c r="A65" s="94" t="s">
        <v>185</v>
      </c>
      <c r="B65" s="95" t="s">
        <v>186</v>
      </c>
      <c r="C65" s="96"/>
      <c r="D65" s="97"/>
      <c r="E65" s="84">
        <f t="shared" si="5"/>
        <v>0</v>
      </c>
      <c r="F65" s="98"/>
      <c r="G65" s="98"/>
      <c r="H65" s="99"/>
      <c r="I65" s="97"/>
      <c r="J65" s="100">
        <f t="shared" si="6"/>
        <v>0</v>
      </c>
      <c r="K65" s="104"/>
      <c r="L65" s="98"/>
      <c r="M65" s="92"/>
    </row>
    <row r="66" spans="1:13" s="93" customFormat="1" ht="11.25">
      <c r="A66" s="94" t="s">
        <v>187</v>
      </c>
      <c r="B66" s="95" t="s">
        <v>188</v>
      </c>
      <c r="C66" s="96"/>
      <c r="D66" s="97"/>
      <c r="E66" s="84">
        <f t="shared" si="5"/>
        <v>0</v>
      </c>
      <c r="F66" s="98"/>
      <c r="G66" s="98"/>
      <c r="H66" s="99"/>
      <c r="I66" s="97"/>
      <c r="J66" s="100">
        <f t="shared" si="6"/>
        <v>0</v>
      </c>
      <c r="K66" s="104"/>
      <c r="L66" s="98"/>
      <c r="M66" s="92"/>
    </row>
    <row r="67" spans="1:13" s="93" customFormat="1" ht="11.25">
      <c r="A67" s="94" t="s">
        <v>189</v>
      </c>
      <c r="B67" s="95" t="s">
        <v>190</v>
      </c>
      <c r="C67" s="96"/>
      <c r="D67" s="97"/>
      <c r="E67" s="84">
        <f t="shared" si="5"/>
        <v>0</v>
      </c>
      <c r="F67" s="98"/>
      <c r="G67" s="98"/>
      <c r="H67" s="99"/>
      <c r="I67" s="97"/>
      <c r="J67" s="100">
        <f t="shared" si="6"/>
        <v>0</v>
      </c>
      <c r="K67" s="104"/>
      <c r="L67" s="98"/>
      <c r="M67" s="92"/>
    </row>
    <row r="68" spans="1:13" s="93" customFormat="1" ht="11.25">
      <c r="A68" s="94" t="s">
        <v>191</v>
      </c>
      <c r="B68" s="95" t="s">
        <v>192</v>
      </c>
      <c r="C68" s="96"/>
      <c r="D68" s="97"/>
      <c r="E68" s="84">
        <f t="shared" si="5"/>
        <v>0</v>
      </c>
      <c r="F68" s="98"/>
      <c r="G68" s="98"/>
      <c r="H68" s="99"/>
      <c r="I68" s="97"/>
      <c r="J68" s="100">
        <f t="shared" si="6"/>
        <v>0</v>
      </c>
      <c r="K68" s="104"/>
      <c r="L68" s="98"/>
      <c r="M68" s="92"/>
    </row>
    <row r="69" spans="1:13" s="93" customFormat="1" ht="11.25">
      <c r="A69" s="94" t="s">
        <v>193</v>
      </c>
      <c r="B69" s="95" t="s">
        <v>194</v>
      </c>
      <c r="C69" s="96"/>
      <c r="D69" s="97"/>
      <c r="E69" s="84">
        <f t="shared" si="5"/>
        <v>0</v>
      </c>
      <c r="F69" s="98"/>
      <c r="G69" s="98"/>
      <c r="H69" s="99"/>
      <c r="I69" s="97"/>
      <c r="J69" s="100">
        <f t="shared" si="6"/>
        <v>0</v>
      </c>
      <c r="K69" s="104"/>
      <c r="L69" s="98"/>
      <c r="M69" s="92"/>
    </row>
    <row r="70" spans="1:13" s="93" customFormat="1" ht="11.25">
      <c r="A70" s="94" t="s">
        <v>195</v>
      </c>
      <c r="B70" s="95" t="s">
        <v>196</v>
      </c>
      <c r="C70" s="96"/>
      <c r="D70" s="97"/>
      <c r="E70" s="84">
        <f t="shared" si="5"/>
        <v>0</v>
      </c>
      <c r="F70" s="98"/>
      <c r="G70" s="98"/>
      <c r="H70" s="99"/>
      <c r="I70" s="97"/>
      <c r="J70" s="100">
        <f t="shared" si="6"/>
        <v>0</v>
      </c>
      <c r="K70" s="104"/>
      <c r="L70" s="98"/>
      <c r="M70" s="92"/>
    </row>
    <row r="71" spans="1:13" s="93" customFormat="1" ht="11.25">
      <c r="A71" s="94" t="s">
        <v>197</v>
      </c>
      <c r="B71" s="95" t="s">
        <v>198</v>
      </c>
      <c r="C71" s="96"/>
      <c r="D71" s="97"/>
      <c r="E71" s="84">
        <f t="shared" si="5"/>
        <v>0</v>
      </c>
      <c r="F71" s="98"/>
      <c r="G71" s="98"/>
      <c r="H71" s="99"/>
      <c r="I71" s="97"/>
      <c r="J71" s="100">
        <f t="shared" si="6"/>
        <v>0</v>
      </c>
      <c r="K71" s="104"/>
      <c r="L71" s="98"/>
      <c r="M71" s="92"/>
    </row>
    <row r="72" spans="1:13" s="93" customFormat="1" ht="11.25">
      <c r="A72" s="94" t="s">
        <v>199</v>
      </c>
      <c r="B72" s="95" t="s">
        <v>200</v>
      </c>
      <c r="C72" s="96"/>
      <c r="D72" s="97"/>
      <c r="E72" s="84">
        <f t="shared" si="5"/>
        <v>0</v>
      </c>
      <c r="F72" s="98"/>
      <c r="G72" s="98"/>
      <c r="H72" s="99"/>
      <c r="I72" s="97"/>
      <c r="J72" s="100">
        <f t="shared" si="6"/>
        <v>0</v>
      </c>
      <c r="K72" s="104"/>
      <c r="L72" s="98"/>
      <c r="M72" s="92"/>
    </row>
    <row r="73" spans="1:13" s="93" customFormat="1" ht="11.25">
      <c r="A73" s="94" t="s">
        <v>201</v>
      </c>
      <c r="B73" s="95" t="s">
        <v>202</v>
      </c>
      <c r="C73" s="96"/>
      <c r="D73" s="97"/>
      <c r="E73" s="84">
        <f t="shared" si="5"/>
        <v>0</v>
      </c>
      <c r="F73" s="98"/>
      <c r="G73" s="98"/>
      <c r="H73" s="99"/>
      <c r="I73" s="97"/>
      <c r="J73" s="100">
        <f t="shared" si="6"/>
        <v>0</v>
      </c>
      <c r="K73" s="104"/>
      <c r="L73" s="98"/>
      <c r="M73" s="92"/>
    </row>
    <row r="74" spans="1:13" s="93" customFormat="1" ht="11.25">
      <c r="A74" s="94" t="s">
        <v>203</v>
      </c>
      <c r="B74" s="95" t="s">
        <v>204</v>
      </c>
      <c r="C74" s="96"/>
      <c r="D74" s="97"/>
      <c r="E74" s="84">
        <f t="shared" ref="E74:E79" si="8">+D74+C74</f>
        <v>0</v>
      </c>
      <c r="F74" s="98"/>
      <c r="G74" s="98"/>
      <c r="H74" s="99"/>
      <c r="I74" s="97"/>
      <c r="J74" s="100">
        <f t="shared" ref="J74:J79" si="9">H74-I74</f>
        <v>0</v>
      </c>
      <c r="K74" s="104"/>
      <c r="L74" s="98"/>
      <c r="M74" s="92"/>
    </row>
    <row r="75" spans="1:13" s="93" customFormat="1" ht="11.25">
      <c r="A75" s="94" t="s">
        <v>205</v>
      </c>
      <c r="B75" s="95" t="s">
        <v>206</v>
      </c>
      <c r="C75" s="96">
        <f>4+13</f>
        <v>17</v>
      </c>
      <c r="D75" s="97"/>
      <c r="E75" s="84">
        <f>+C75+D75</f>
        <v>17</v>
      </c>
      <c r="F75" s="98">
        <f>101*E75</f>
        <v>1717</v>
      </c>
      <c r="G75" s="98"/>
      <c r="H75" s="99">
        <v>4</v>
      </c>
      <c r="I75" s="97"/>
      <c r="J75" s="100">
        <f t="shared" si="9"/>
        <v>4</v>
      </c>
      <c r="K75" s="104"/>
      <c r="L75" s="98" t="s">
        <v>442</v>
      </c>
      <c r="M75" s="92"/>
    </row>
    <row r="76" spans="1:13" s="93" customFormat="1" ht="11.25">
      <c r="A76" s="94" t="s">
        <v>207</v>
      </c>
      <c r="B76" s="95" t="s">
        <v>208</v>
      </c>
      <c r="C76" s="96"/>
      <c r="D76" s="97"/>
      <c r="E76" s="84">
        <f t="shared" si="8"/>
        <v>0</v>
      </c>
      <c r="F76" s="98"/>
      <c r="G76" s="98"/>
      <c r="H76" s="99"/>
      <c r="I76" s="97"/>
      <c r="J76" s="100">
        <f t="shared" si="9"/>
        <v>0</v>
      </c>
      <c r="K76" s="104"/>
      <c r="L76" s="98"/>
      <c r="M76" s="92"/>
    </row>
    <row r="77" spans="1:13" s="93" customFormat="1" ht="11.25">
      <c r="A77" s="94" t="s">
        <v>209</v>
      </c>
      <c r="B77" s="95" t="s">
        <v>210</v>
      </c>
      <c r="C77" s="96"/>
      <c r="D77" s="97"/>
      <c r="E77" s="84">
        <f t="shared" si="8"/>
        <v>0</v>
      </c>
      <c r="F77" s="98"/>
      <c r="G77" s="98"/>
      <c r="H77" s="99"/>
      <c r="I77" s="97"/>
      <c r="J77" s="100">
        <f t="shared" si="9"/>
        <v>0</v>
      </c>
      <c r="K77" s="104"/>
      <c r="L77" s="98"/>
      <c r="M77" s="92"/>
    </row>
    <row r="78" spans="1:13">
      <c r="A78" s="94" t="s">
        <v>211</v>
      </c>
      <c r="B78" s="95" t="s">
        <v>212</v>
      </c>
      <c r="C78" s="96">
        <v>3</v>
      </c>
      <c r="D78" s="97"/>
      <c r="E78" s="84">
        <f t="shared" si="8"/>
        <v>3</v>
      </c>
      <c r="F78" s="98">
        <f>101*E78</f>
        <v>303</v>
      </c>
      <c r="G78" s="98"/>
      <c r="H78" s="99">
        <f>4-E78</f>
        <v>1</v>
      </c>
      <c r="I78" s="97">
        <v>0</v>
      </c>
      <c r="J78" s="100">
        <f t="shared" si="9"/>
        <v>1</v>
      </c>
      <c r="K78" s="104"/>
      <c r="L78" s="98"/>
    </row>
    <row r="79" spans="1:13">
      <c r="A79" s="105" t="s">
        <v>213</v>
      </c>
      <c r="B79" s="106" t="s">
        <v>214</v>
      </c>
      <c r="C79" s="107"/>
      <c r="D79" s="108"/>
      <c r="E79" s="109">
        <f t="shared" si="8"/>
        <v>0</v>
      </c>
      <c r="F79" s="110"/>
      <c r="G79" s="110"/>
      <c r="H79" s="111"/>
      <c r="I79" s="108"/>
      <c r="J79" s="112">
        <f t="shared" si="9"/>
        <v>0</v>
      </c>
      <c r="K79" s="113"/>
      <c r="L79" s="110"/>
    </row>
    <row r="80" spans="1:13">
      <c r="C80" s="117"/>
      <c r="D80" s="117"/>
      <c r="E80" s="117"/>
      <c r="F80" s="117"/>
      <c r="G80" s="117"/>
      <c r="H80" s="118"/>
      <c r="I80" s="117"/>
      <c r="J80" s="117"/>
      <c r="K80" s="117"/>
      <c r="L80" s="117"/>
    </row>
    <row r="81" spans="1:15" ht="45.6" customHeight="1">
      <c r="A81" s="371" t="s">
        <v>215</v>
      </c>
      <c r="B81" s="371"/>
      <c r="C81" s="371"/>
      <c r="D81" s="371"/>
      <c r="E81" s="371"/>
      <c r="F81" s="371"/>
      <c r="G81" s="371"/>
      <c r="H81" s="371"/>
      <c r="I81" s="371"/>
      <c r="J81" s="371"/>
      <c r="K81" s="371"/>
      <c r="L81" s="371"/>
      <c r="M81" s="104"/>
      <c r="N81" s="92"/>
      <c r="O81" s="27"/>
    </row>
    <row r="82" spans="1:15" s="117" customFormat="1" ht="22.15" customHeight="1">
      <c r="A82" s="119"/>
      <c r="B82" s="119"/>
      <c r="C82" s="119"/>
      <c r="D82" s="119"/>
      <c r="E82" s="119"/>
      <c r="F82" s="119"/>
      <c r="G82" s="119"/>
      <c r="H82" s="119"/>
      <c r="I82" s="104"/>
      <c r="J82" s="104"/>
      <c r="K82" s="104"/>
      <c r="L82" s="104"/>
      <c r="M82" s="104"/>
      <c r="N82" s="92"/>
      <c r="O82" s="27"/>
    </row>
    <row r="83" spans="1:15" s="117" customFormat="1" ht="21" customHeight="1">
      <c r="A83" s="364" t="s">
        <v>216</v>
      </c>
      <c r="B83" s="364"/>
      <c r="C83" s="364"/>
      <c r="D83" s="364"/>
      <c r="E83" s="364"/>
      <c r="F83" s="120">
        <f>+SUM(F10:F79)+SUM('Altri profili_2024_'!F7:F79)</f>
        <v>155505</v>
      </c>
      <c r="G83" s="119"/>
      <c r="H83" s="119"/>
      <c r="I83" s="92"/>
      <c r="J83" s="92"/>
      <c r="K83" s="92"/>
      <c r="L83" s="92"/>
      <c r="M83" s="104"/>
      <c r="N83" s="92"/>
      <c r="O83" s="27"/>
    </row>
    <row r="84" spans="1:15">
      <c r="A84" s="121"/>
      <c r="B84" s="122"/>
      <c r="C84" s="92"/>
      <c r="D84" s="123"/>
      <c r="E84" s="92"/>
      <c r="F84" s="92"/>
      <c r="G84" s="92"/>
      <c r="H84" s="92"/>
      <c r="I84" s="92"/>
      <c r="J84" s="92"/>
      <c r="K84" s="92"/>
      <c r="L84" s="92"/>
      <c r="M84" s="104"/>
      <c r="N84" s="92"/>
      <c r="O84" s="27"/>
    </row>
    <row r="85" spans="1:15" s="25" customFormat="1" ht="21" customHeight="1">
      <c r="A85" s="365" t="s">
        <v>217</v>
      </c>
      <c r="B85" s="365"/>
      <c r="C85" s="365"/>
      <c r="D85" s="365"/>
      <c r="E85" s="365"/>
      <c r="F85" s="124">
        <v>9374.0654574132495</v>
      </c>
      <c r="G85" s="125" t="s">
        <v>218</v>
      </c>
      <c r="H85" s="126"/>
      <c r="I85" s="127"/>
      <c r="J85" s="366" t="s">
        <v>219</v>
      </c>
      <c r="K85" s="123"/>
      <c r="L85" s="123"/>
    </row>
    <row r="86" spans="1:15" s="25" customFormat="1" ht="21" customHeight="1">
      <c r="A86" s="365" t="s">
        <v>220</v>
      </c>
      <c r="B86" s="365"/>
      <c r="C86" s="365"/>
      <c r="D86" s="365"/>
      <c r="E86" s="365"/>
      <c r="F86" s="124">
        <v>296</v>
      </c>
      <c r="G86" s="128" t="s">
        <v>218</v>
      </c>
      <c r="H86" s="126"/>
      <c r="I86" s="127"/>
      <c r="J86" s="366"/>
      <c r="K86" s="123"/>
      <c r="L86" s="123"/>
    </row>
    <row r="87" spans="1:15" s="25" customFormat="1" ht="21" customHeight="1">
      <c r="A87" s="367" t="s">
        <v>221</v>
      </c>
      <c r="B87" s="367"/>
      <c r="C87" s="367"/>
      <c r="D87" s="367"/>
      <c r="E87" s="367"/>
      <c r="F87" s="124">
        <v>2947.2000000000003</v>
      </c>
      <c r="G87" s="128" t="s">
        <v>222</v>
      </c>
      <c r="H87" s="126"/>
      <c r="I87" s="127"/>
      <c r="J87" s="366"/>
      <c r="K87" s="123"/>
      <c r="L87" s="123"/>
    </row>
    <row r="88" spans="1:15" s="25" customFormat="1" ht="21" customHeight="1">
      <c r="A88" s="367" t="s">
        <v>223</v>
      </c>
      <c r="B88" s="367"/>
      <c r="C88" s="367"/>
      <c r="D88" s="367"/>
      <c r="E88" s="367"/>
      <c r="F88" s="124"/>
      <c r="G88" s="128" t="s">
        <v>222</v>
      </c>
      <c r="H88" s="126"/>
      <c r="I88" s="127"/>
      <c r="J88" s="366"/>
      <c r="K88" s="123"/>
      <c r="L88" s="123"/>
    </row>
    <row r="89" spans="1:15" s="25" customFormat="1" ht="21" customHeight="1">
      <c r="A89" s="367" t="s">
        <v>224</v>
      </c>
      <c r="B89" s="367"/>
      <c r="C89" s="367"/>
      <c r="D89" s="367"/>
      <c r="E89" s="367"/>
      <c r="F89" s="124"/>
      <c r="G89" s="129" t="s">
        <v>222</v>
      </c>
      <c r="H89" s="126"/>
      <c r="I89" s="127"/>
      <c r="J89" s="366"/>
      <c r="K89" s="123"/>
      <c r="L89" s="123"/>
    </row>
    <row r="90" spans="1:15" s="25" customFormat="1" ht="21" customHeight="1">
      <c r="A90" s="367" t="s">
        <v>225</v>
      </c>
      <c r="B90" s="367"/>
      <c r="C90" s="367"/>
      <c r="D90" s="367"/>
      <c r="E90" s="367"/>
      <c r="F90" s="124">
        <v>23361.600000000002</v>
      </c>
      <c r="G90" s="129" t="s">
        <v>222</v>
      </c>
      <c r="H90" s="126"/>
      <c r="I90" s="127"/>
      <c r="J90" s="366"/>
      <c r="K90" s="123"/>
      <c r="L90" s="123"/>
    </row>
    <row r="91" spans="1:15" s="25" customFormat="1" ht="10.15" customHeight="1">
      <c r="A91" s="123"/>
      <c r="B91" s="123"/>
      <c r="C91" s="123"/>
      <c r="D91" s="123"/>
      <c r="E91" s="123"/>
      <c r="F91" s="123"/>
      <c r="G91" s="127"/>
      <c r="H91" s="127"/>
      <c r="I91" s="127"/>
      <c r="J91" s="366"/>
      <c r="K91" s="123"/>
      <c r="L91" s="123"/>
    </row>
    <row r="92" spans="1:15" s="25" customFormat="1" ht="21" customHeight="1">
      <c r="A92" s="361" t="s">
        <v>226</v>
      </c>
      <c r="B92" s="361"/>
      <c r="C92" s="361"/>
      <c r="D92" s="361"/>
      <c r="E92" s="361"/>
      <c r="F92" s="130">
        <f>+F83+F85+F86-F87-F88-F89-F90</f>
        <v>138866.26545741325</v>
      </c>
      <c r="G92" s="362"/>
      <c r="H92" s="362"/>
      <c r="I92" s="127"/>
      <c r="J92" s="131">
        <f>+Medici_2026!$K$92</f>
        <v>157151</v>
      </c>
      <c r="K92" s="123"/>
      <c r="L92" s="123"/>
    </row>
    <row r="93" spans="1:15" s="25" customFormat="1" ht="21" customHeight="1">
      <c r="A93" s="132"/>
      <c r="B93" s="132"/>
      <c r="C93" s="132"/>
      <c r="D93" s="132"/>
      <c r="E93" s="132"/>
      <c r="F93" s="133"/>
      <c r="G93" s="134"/>
      <c r="H93" s="134"/>
      <c r="I93" s="123"/>
      <c r="J93" s="123"/>
      <c r="K93" s="123"/>
      <c r="L93" s="123"/>
    </row>
    <row r="94" spans="1:15" s="25" customFormat="1" ht="21" customHeight="1">
      <c r="A94" s="363" t="s">
        <v>228</v>
      </c>
      <c r="B94" s="363"/>
      <c r="C94" s="363"/>
      <c r="D94" s="363"/>
      <c r="E94" s="363"/>
      <c r="F94" s="135">
        <f>+J92-F92</f>
        <v>18284.734542586753</v>
      </c>
      <c r="G94" s="134"/>
      <c r="H94" s="134"/>
      <c r="I94" s="123"/>
      <c r="J94" s="123"/>
      <c r="K94" s="123"/>
      <c r="L94" s="123"/>
    </row>
    <row r="95" spans="1:15" s="25" customFormat="1" ht="11.25">
      <c r="A95" s="123"/>
      <c r="B95" s="123"/>
      <c r="C95" s="123"/>
      <c r="D95" s="123"/>
      <c r="E95" s="123"/>
      <c r="F95" s="127"/>
      <c r="G95" s="127"/>
      <c r="H95" s="127"/>
      <c r="I95" s="127"/>
      <c r="J95" s="136"/>
      <c r="K95" s="123"/>
      <c r="L95" s="123"/>
      <c r="O95" s="27"/>
    </row>
  </sheetData>
  <mergeCells count="16">
    <mergeCell ref="A4:B4"/>
    <mergeCell ref="A5:B5"/>
    <mergeCell ref="A7:B7"/>
    <mergeCell ref="A9:B9"/>
    <mergeCell ref="A81:L81"/>
    <mergeCell ref="J85:J91"/>
    <mergeCell ref="A86:E86"/>
    <mergeCell ref="A87:E87"/>
    <mergeCell ref="A88:E88"/>
    <mergeCell ref="A89:E89"/>
    <mergeCell ref="A90:E90"/>
    <mergeCell ref="A92:E92"/>
    <mergeCell ref="G92:H92"/>
    <mergeCell ref="A94:E94"/>
    <mergeCell ref="A83:E83"/>
    <mergeCell ref="A85:E85"/>
  </mergeCells>
  <conditionalFormatting sqref="H45:J79 J10:J44">
    <cfRule type="cellIs" dxfId="49" priority="4" operator="lessThan">
      <formula>0</formula>
    </cfRule>
  </conditionalFormatting>
  <conditionalFormatting sqref="I45:J79 J10:J44">
    <cfRule type="cellIs" dxfId="48" priority="5" operator="greaterThan">
      <formula>#REF!</formula>
    </cfRule>
  </conditionalFormatting>
  <conditionalFormatting sqref="H7:J9">
    <cfRule type="cellIs" dxfId="47" priority="6" operator="lessThan">
      <formula>0</formula>
    </cfRule>
  </conditionalFormatting>
  <conditionalFormatting sqref="I7:J9">
    <cfRule type="cellIs" dxfId="46" priority="7" operator="greaterThan">
      <formula>#REF!</formula>
    </cfRule>
  </conditionalFormatting>
  <conditionalFormatting sqref="H10:I44">
    <cfRule type="cellIs" dxfId="45" priority="1" operator="lessThan">
      <formula>0</formula>
    </cfRule>
  </conditionalFormatting>
  <conditionalFormatting sqref="I10:I44">
    <cfRule type="cellIs" dxfId="44" priority="2" operator="greaterThan">
      <formula>#REF!</formula>
    </cfRule>
  </conditionalFormatting>
  <pageMargins left="0.23611111111111099" right="0.23611111111111099" top="0.74791666666666701" bottom="0.74791666666666701" header="0.51180555555555496" footer="0.31527777777777799"/>
  <pageSetup paperSize="8" scale="32" firstPageNumber="0" orientation="landscape" r:id="rId1"/>
  <headerFooter>
    <oddFooter>&amp;R&amp;"Arial,Normale"&amp;10&amp;A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G80"/>
  <sheetViews>
    <sheetView showGridLines="0" zoomScale="110" zoomScaleNormal="110" zoomScalePageLayoutView="85" workbookViewId="0">
      <pane xSplit="2" ySplit="5" topLeftCell="C30" activePane="bottomRight" state="frozen"/>
      <selection pane="topRight" activeCell="C1" sqref="C1"/>
      <selection pane="bottomLeft" activeCell="A27" sqref="A27"/>
      <selection pane="bottomRight" activeCell="H59" sqref="H59"/>
    </sheetView>
  </sheetViews>
  <sheetFormatPr defaultColWidth="9.140625" defaultRowHeight="15"/>
  <cols>
    <col min="1" max="1" width="10.28515625" style="25" customWidth="1"/>
    <col min="2" max="2" width="49.5703125" style="25" customWidth="1"/>
    <col min="3" max="6" width="12.42578125" style="25" customWidth="1"/>
    <col min="7" max="7" width="18" style="25" customWidth="1"/>
    <col min="8" max="8" width="12.7109375" style="26" customWidth="1"/>
    <col min="9" max="10" width="18" style="25" customWidth="1"/>
    <col min="11" max="11" width="0.7109375" style="25" customWidth="1"/>
    <col min="12" max="12" width="37.7109375" style="25" customWidth="1"/>
    <col min="13" max="13" width="15.5703125" style="142" hidden="1" customWidth="1"/>
    <col min="14" max="1021" width="9.140625" style="25"/>
  </cols>
  <sheetData>
    <row r="1" spans="1:13">
      <c r="A1" s="28" t="s">
        <v>50</v>
      </c>
      <c r="B1" s="29" t="str">
        <f>+Copertina!F20</f>
        <v xml:space="preserve">AO Civico </v>
      </c>
      <c r="C1" s="26"/>
      <c r="D1" s="26"/>
      <c r="E1" s="26"/>
      <c r="F1" s="26"/>
      <c r="H1" s="30"/>
    </row>
    <row r="2" spans="1:13" ht="15" customHeight="1">
      <c r="A2" s="31" t="str">
        <f>"Piano del Fabbisogno 2024 "&amp;B1</f>
        <v xml:space="preserve">Piano del Fabbisogno 2024 AO Civico </v>
      </c>
      <c r="B2" s="32"/>
      <c r="C2" s="33"/>
      <c r="D2" s="33"/>
      <c r="E2" s="33"/>
      <c r="F2" s="33"/>
      <c r="G2" s="33"/>
      <c r="H2" s="33"/>
      <c r="I2" s="32"/>
      <c r="J2" s="32"/>
      <c r="K2" s="33"/>
      <c r="L2" s="34"/>
      <c r="M2" s="143"/>
    </row>
    <row r="3" spans="1:13" ht="16.5" customHeight="1">
      <c r="A3" s="36" t="s">
        <v>234</v>
      </c>
      <c r="B3" s="37"/>
      <c r="C3" s="37"/>
      <c r="D3" s="37"/>
      <c r="E3" s="37"/>
      <c r="F3" s="37"/>
      <c r="G3" s="37"/>
      <c r="H3" s="37"/>
      <c r="I3" s="37"/>
      <c r="J3" s="37"/>
      <c r="K3" s="37"/>
      <c r="L3" s="38"/>
      <c r="M3" s="144"/>
    </row>
    <row r="4" spans="1:13" ht="87.75" customHeight="1">
      <c r="A4" s="368" t="s">
        <v>235</v>
      </c>
      <c r="B4" s="368"/>
      <c r="C4" s="40" t="s">
        <v>454</v>
      </c>
      <c r="D4" s="41" t="s">
        <v>434</v>
      </c>
      <c r="E4" s="41" t="s">
        <v>439</v>
      </c>
      <c r="F4" s="42" t="s">
        <v>53</v>
      </c>
      <c r="G4" s="43" t="s">
        <v>54</v>
      </c>
      <c r="H4" s="44" t="s">
        <v>55</v>
      </c>
      <c r="I4" s="45" t="s">
        <v>56</v>
      </c>
      <c r="J4" s="46" t="s">
        <v>57</v>
      </c>
      <c r="K4" s="72"/>
      <c r="L4" s="48" t="s">
        <v>61</v>
      </c>
      <c r="M4" s="145"/>
    </row>
    <row r="5" spans="1:13" ht="22.5" customHeight="1">
      <c r="A5" s="368"/>
      <c r="B5" s="368"/>
      <c r="C5" s="40" t="s">
        <v>62</v>
      </c>
      <c r="D5" s="50" t="s">
        <v>63</v>
      </c>
      <c r="E5" s="146" t="s">
        <v>64</v>
      </c>
      <c r="F5" s="42" t="s">
        <v>65</v>
      </c>
      <c r="G5" s="48" t="s">
        <v>66</v>
      </c>
      <c r="H5" s="51" t="s">
        <v>67</v>
      </c>
      <c r="I5" s="52" t="s">
        <v>236</v>
      </c>
      <c r="J5" s="53" t="s">
        <v>237</v>
      </c>
      <c r="K5" s="54"/>
      <c r="L5" s="55"/>
    </row>
    <row r="6" spans="1:13" ht="15" customHeight="1">
      <c r="A6" s="372" t="s">
        <v>241</v>
      </c>
      <c r="B6" s="372"/>
      <c r="C6" s="147">
        <f t="shared" ref="C6:J6" si="0">+SUM(C7:C79)</f>
        <v>1691</v>
      </c>
      <c r="D6" s="63">
        <f t="shared" si="0"/>
        <v>319</v>
      </c>
      <c r="E6" s="148">
        <f t="shared" si="0"/>
        <v>2010</v>
      </c>
      <c r="F6" s="64">
        <f t="shared" si="0"/>
        <v>87835</v>
      </c>
      <c r="G6" s="65">
        <f t="shared" si="0"/>
        <v>0</v>
      </c>
      <c r="H6" s="62">
        <f t="shared" si="0"/>
        <v>287</v>
      </c>
      <c r="I6" s="149">
        <f t="shared" si="0"/>
        <v>168</v>
      </c>
      <c r="J6" s="150">
        <f t="shared" si="0"/>
        <v>119</v>
      </c>
      <c r="K6" s="49"/>
      <c r="L6" s="68"/>
    </row>
    <row r="7" spans="1:13" s="93" customFormat="1" ht="10.15" customHeight="1">
      <c r="A7" s="153" t="s">
        <v>242</v>
      </c>
      <c r="B7" s="154" t="s">
        <v>243</v>
      </c>
      <c r="C7" s="155">
        <v>938</v>
      </c>
      <c r="D7" s="156">
        <v>207</v>
      </c>
      <c r="E7" s="157">
        <f t="shared" ref="E7:E38" si="1">+D7+C7</f>
        <v>1145</v>
      </c>
      <c r="F7" s="158">
        <f>+E7*45</f>
        <v>51525</v>
      </c>
      <c r="G7" s="158"/>
      <c r="H7" s="159">
        <v>200</v>
      </c>
      <c r="I7" s="160">
        <v>150</v>
      </c>
      <c r="J7" s="87">
        <f t="shared" ref="J7:J38" si="2">H7-I7</f>
        <v>50</v>
      </c>
      <c r="K7" s="161"/>
      <c r="L7" s="158"/>
      <c r="M7" s="163" t="s">
        <v>243</v>
      </c>
    </row>
    <row r="8" spans="1:13" s="93" customFormat="1" ht="10.15" customHeight="1">
      <c r="A8" s="164" t="s">
        <v>244</v>
      </c>
      <c r="B8" s="165" t="s">
        <v>245</v>
      </c>
      <c r="C8" s="155"/>
      <c r="D8" s="156"/>
      <c r="E8" s="100">
        <f t="shared" si="1"/>
        <v>0</v>
      </c>
      <c r="F8" s="166"/>
      <c r="G8" s="166"/>
      <c r="H8" s="167"/>
      <c r="I8" s="168"/>
      <c r="J8" s="100">
        <f t="shared" si="2"/>
        <v>0</v>
      </c>
      <c r="K8" s="169"/>
      <c r="L8" s="166"/>
      <c r="M8" s="163" t="s">
        <v>243</v>
      </c>
    </row>
    <row r="9" spans="1:13" s="93" customFormat="1" ht="10.15" customHeight="1">
      <c r="A9" s="164" t="s">
        <v>246</v>
      </c>
      <c r="B9" s="165" t="s">
        <v>247</v>
      </c>
      <c r="C9" s="155"/>
      <c r="D9" s="156"/>
      <c r="E9" s="100">
        <f t="shared" si="1"/>
        <v>0</v>
      </c>
      <c r="F9" s="166"/>
      <c r="G9" s="166"/>
      <c r="H9" s="167"/>
      <c r="I9" s="168"/>
      <c r="J9" s="100">
        <f t="shared" si="2"/>
        <v>0</v>
      </c>
      <c r="K9" s="169"/>
      <c r="L9" s="166"/>
      <c r="M9" s="163" t="s">
        <v>243</v>
      </c>
    </row>
    <row r="10" spans="1:13" s="93" customFormat="1" ht="10.15" customHeight="1">
      <c r="A10" s="164" t="s">
        <v>248</v>
      </c>
      <c r="B10" s="165" t="s">
        <v>249</v>
      </c>
      <c r="C10" s="155"/>
      <c r="D10" s="156"/>
      <c r="E10" s="100">
        <f t="shared" si="1"/>
        <v>0</v>
      </c>
      <c r="F10" s="166"/>
      <c r="G10" s="166"/>
      <c r="H10" s="167"/>
      <c r="I10" s="168"/>
      <c r="J10" s="100">
        <f t="shared" si="2"/>
        <v>0</v>
      </c>
      <c r="K10" s="161"/>
      <c r="L10" s="166"/>
      <c r="M10" s="163" t="s">
        <v>243</v>
      </c>
    </row>
    <row r="11" spans="1:13" s="93" customFormat="1" ht="10.15" customHeight="1">
      <c r="A11" s="164" t="s">
        <v>250</v>
      </c>
      <c r="B11" s="165" t="s">
        <v>251</v>
      </c>
      <c r="C11" s="155">
        <v>223</v>
      </c>
      <c r="D11" s="156">
        <v>47</v>
      </c>
      <c r="E11" s="100">
        <f t="shared" si="1"/>
        <v>270</v>
      </c>
      <c r="F11" s="166">
        <f>+E11*36</f>
        <v>9720</v>
      </c>
      <c r="G11" s="166"/>
      <c r="H11" s="167">
        <f>270-E11</f>
        <v>0</v>
      </c>
      <c r="I11" s="168">
        <v>0</v>
      </c>
      <c r="J11" s="100">
        <f t="shared" si="2"/>
        <v>0</v>
      </c>
      <c r="K11" s="161"/>
      <c r="L11" s="166"/>
      <c r="M11" s="163" t="s">
        <v>252</v>
      </c>
    </row>
    <row r="12" spans="1:13" s="93" customFormat="1" ht="10.15" customHeight="1">
      <c r="A12" s="164" t="s">
        <v>253</v>
      </c>
      <c r="B12" s="165" t="s">
        <v>254</v>
      </c>
      <c r="C12" s="155"/>
      <c r="D12" s="156"/>
      <c r="E12" s="100">
        <f t="shared" si="1"/>
        <v>0</v>
      </c>
      <c r="F12" s="166"/>
      <c r="G12" s="166"/>
      <c r="H12" s="167"/>
      <c r="I12" s="168"/>
      <c r="J12" s="100">
        <f t="shared" si="2"/>
        <v>0</v>
      </c>
      <c r="K12" s="169"/>
      <c r="L12" s="166"/>
      <c r="M12" s="163" t="s">
        <v>252</v>
      </c>
    </row>
    <row r="13" spans="1:13" s="93" customFormat="1" ht="10.15" customHeight="1">
      <c r="A13" s="164" t="s">
        <v>255</v>
      </c>
      <c r="B13" s="165" t="s">
        <v>256</v>
      </c>
      <c r="C13" s="155">
        <v>15</v>
      </c>
      <c r="D13" s="156">
        <v>0</v>
      </c>
      <c r="E13" s="100">
        <f t="shared" si="1"/>
        <v>15</v>
      </c>
      <c r="F13" s="166">
        <f>32*E13</f>
        <v>480</v>
      </c>
      <c r="G13" s="166"/>
      <c r="H13" s="167"/>
      <c r="I13" s="168"/>
      <c r="J13" s="100">
        <f t="shared" si="2"/>
        <v>0</v>
      </c>
      <c r="K13" s="169"/>
      <c r="L13" s="166"/>
      <c r="M13" s="163" t="s">
        <v>252</v>
      </c>
    </row>
    <row r="14" spans="1:13" s="93" customFormat="1" ht="10.15" customHeight="1">
      <c r="A14" s="164" t="s">
        <v>257</v>
      </c>
      <c r="B14" s="165" t="s">
        <v>258</v>
      </c>
      <c r="C14" s="155">
        <v>1</v>
      </c>
      <c r="D14" s="156"/>
      <c r="E14" s="100">
        <f t="shared" si="1"/>
        <v>1</v>
      </c>
      <c r="F14" s="166"/>
      <c r="G14" s="166"/>
      <c r="H14" s="167"/>
      <c r="I14" s="168"/>
      <c r="J14" s="100">
        <f t="shared" si="2"/>
        <v>0</v>
      </c>
      <c r="K14" s="169"/>
      <c r="L14" s="166"/>
      <c r="M14" s="163" t="s">
        <v>259</v>
      </c>
    </row>
    <row r="15" spans="1:13" s="93" customFormat="1" ht="10.15" customHeight="1">
      <c r="A15" s="164" t="s">
        <v>260</v>
      </c>
      <c r="B15" s="165" t="s">
        <v>261</v>
      </c>
      <c r="C15" s="155"/>
      <c r="D15" s="156"/>
      <c r="E15" s="100">
        <f t="shared" si="1"/>
        <v>0</v>
      </c>
      <c r="F15" s="166"/>
      <c r="G15" s="166"/>
      <c r="H15" s="167"/>
      <c r="I15" s="168"/>
      <c r="J15" s="100">
        <f t="shared" si="2"/>
        <v>0</v>
      </c>
      <c r="K15" s="169"/>
      <c r="L15" s="166"/>
      <c r="M15" s="163" t="s">
        <v>262</v>
      </c>
    </row>
    <row r="16" spans="1:13" s="93" customFormat="1" ht="10.15" customHeight="1">
      <c r="A16" s="94" t="s">
        <v>263</v>
      </c>
      <c r="B16" s="171" t="s">
        <v>264</v>
      </c>
      <c r="C16" s="155"/>
      <c r="D16" s="156"/>
      <c r="E16" s="100">
        <f t="shared" si="1"/>
        <v>0</v>
      </c>
      <c r="F16" s="166"/>
      <c r="G16" s="166"/>
      <c r="H16" s="167"/>
      <c r="I16" s="168"/>
      <c r="J16" s="100">
        <f t="shared" si="2"/>
        <v>0</v>
      </c>
      <c r="K16" s="169"/>
      <c r="L16" s="166"/>
      <c r="M16" s="163" t="s">
        <v>262</v>
      </c>
    </row>
    <row r="17" spans="1:13" s="93" customFormat="1" ht="10.15" customHeight="1">
      <c r="A17" s="94" t="s">
        <v>265</v>
      </c>
      <c r="B17" s="171" t="s">
        <v>266</v>
      </c>
      <c r="C17" s="155">
        <v>27</v>
      </c>
      <c r="D17" s="156"/>
      <c r="E17" s="100">
        <f t="shared" si="1"/>
        <v>27</v>
      </c>
      <c r="F17" s="166">
        <f>43*E17</f>
        <v>1161</v>
      </c>
      <c r="G17" s="166"/>
      <c r="H17" s="167">
        <v>6</v>
      </c>
      <c r="I17" s="168">
        <v>0</v>
      </c>
      <c r="J17" s="100">
        <f t="shared" si="2"/>
        <v>6</v>
      </c>
      <c r="K17" s="169"/>
      <c r="L17" s="166"/>
      <c r="M17" s="163" t="s">
        <v>262</v>
      </c>
    </row>
    <row r="18" spans="1:13" s="93" customFormat="1" ht="10.15" customHeight="1">
      <c r="A18" s="94" t="s">
        <v>267</v>
      </c>
      <c r="B18" s="171" t="s">
        <v>268</v>
      </c>
      <c r="C18" s="155">
        <v>1</v>
      </c>
      <c r="D18" s="156"/>
      <c r="E18" s="100">
        <f t="shared" si="1"/>
        <v>1</v>
      </c>
      <c r="F18" s="166">
        <f>41*E18</f>
        <v>41</v>
      </c>
      <c r="G18" s="166"/>
      <c r="H18" s="167">
        <v>1</v>
      </c>
      <c r="I18" s="168"/>
      <c r="J18" s="100">
        <f t="shared" si="2"/>
        <v>1</v>
      </c>
      <c r="K18" s="169"/>
      <c r="L18" s="166"/>
      <c r="M18" s="163" t="s">
        <v>262</v>
      </c>
    </row>
    <row r="19" spans="1:13" s="93" customFormat="1" ht="10.15" customHeight="1">
      <c r="A19" s="94" t="s">
        <v>269</v>
      </c>
      <c r="B19" s="171" t="s">
        <v>270</v>
      </c>
      <c r="C19" s="155"/>
      <c r="D19" s="156"/>
      <c r="E19" s="100">
        <f t="shared" si="1"/>
        <v>0</v>
      </c>
      <c r="F19" s="166"/>
      <c r="G19" s="166"/>
      <c r="H19" s="167"/>
      <c r="I19" s="168"/>
      <c r="J19" s="100">
        <f t="shared" si="2"/>
        <v>0</v>
      </c>
      <c r="K19" s="169"/>
      <c r="L19" s="166"/>
      <c r="M19" s="163" t="s">
        <v>262</v>
      </c>
    </row>
    <row r="20" spans="1:13" s="93" customFormat="1" ht="10.15" customHeight="1">
      <c r="A20" s="94" t="s">
        <v>271</v>
      </c>
      <c r="B20" s="171" t="s">
        <v>272</v>
      </c>
      <c r="C20" s="155"/>
      <c r="D20" s="156"/>
      <c r="E20" s="100">
        <f t="shared" si="1"/>
        <v>0</v>
      </c>
      <c r="F20" s="166"/>
      <c r="G20" s="166"/>
      <c r="H20" s="167"/>
      <c r="I20" s="168"/>
      <c r="J20" s="100">
        <f t="shared" si="2"/>
        <v>0</v>
      </c>
      <c r="K20" s="169"/>
      <c r="L20" s="166"/>
      <c r="M20" s="163" t="s">
        <v>262</v>
      </c>
    </row>
    <row r="21" spans="1:13" s="93" customFormat="1" ht="10.15" customHeight="1">
      <c r="A21" s="94" t="s">
        <v>273</v>
      </c>
      <c r="B21" s="171" t="s">
        <v>274</v>
      </c>
      <c r="C21" s="155">
        <v>1</v>
      </c>
      <c r="D21" s="156"/>
      <c r="E21" s="100">
        <f t="shared" si="1"/>
        <v>1</v>
      </c>
      <c r="F21" s="235">
        <f>43*E21</f>
        <v>43</v>
      </c>
      <c r="G21" s="99"/>
      <c r="H21" s="97">
        <v>0</v>
      </c>
      <c r="I21" s="168">
        <v>0</v>
      </c>
      <c r="J21" s="100">
        <f t="shared" si="2"/>
        <v>0</v>
      </c>
      <c r="K21" s="169"/>
      <c r="L21" s="166"/>
      <c r="M21" s="163" t="s">
        <v>262</v>
      </c>
    </row>
    <row r="22" spans="1:13" s="93" customFormat="1" ht="10.15" customHeight="1">
      <c r="A22" s="94" t="s">
        <v>275</v>
      </c>
      <c r="B22" s="171" t="s">
        <v>276</v>
      </c>
      <c r="C22" s="155">
        <v>1</v>
      </c>
      <c r="D22" s="156"/>
      <c r="E22" s="100">
        <f t="shared" si="1"/>
        <v>1</v>
      </c>
      <c r="F22" s="235">
        <f>37*E22</f>
        <v>37</v>
      </c>
      <c r="G22" s="99"/>
      <c r="H22" s="97">
        <v>0</v>
      </c>
      <c r="I22" s="168">
        <v>0</v>
      </c>
      <c r="J22" s="100">
        <f t="shared" si="2"/>
        <v>0</v>
      </c>
      <c r="K22" s="169"/>
      <c r="L22" s="166"/>
      <c r="M22" s="163" t="s">
        <v>262</v>
      </c>
    </row>
    <row r="23" spans="1:13" s="93" customFormat="1" ht="10.15" customHeight="1">
      <c r="A23" s="94" t="s">
        <v>277</v>
      </c>
      <c r="B23" s="171" t="s">
        <v>278</v>
      </c>
      <c r="C23" s="155"/>
      <c r="D23" s="156"/>
      <c r="E23" s="100">
        <f t="shared" si="1"/>
        <v>0</v>
      </c>
      <c r="F23" s="166"/>
      <c r="G23" s="166"/>
      <c r="H23" s="167"/>
      <c r="I23" s="168"/>
      <c r="J23" s="100">
        <f t="shared" si="2"/>
        <v>0</v>
      </c>
      <c r="K23" s="169"/>
      <c r="L23" s="166"/>
      <c r="M23" s="163" t="s">
        <v>262</v>
      </c>
    </row>
    <row r="24" spans="1:13" s="93" customFormat="1" ht="10.15" customHeight="1">
      <c r="A24" s="94" t="s">
        <v>279</v>
      </c>
      <c r="B24" s="171" t="s">
        <v>280</v>
      </c>
      <c r="C24" s="155"/>
      <c r="D24" s="156"/>
      <c r="E24" s="100">
        <f t="shared" si="1"/>
        <v>0</v>
      </c>
      <c r="F24" s="166"/>
      <c r="G24" s="166"/>
      <c r="H24" s="167"/>
      <c r="I24" s="168"/>
      <c r="J24" s="100">
        <f t="shared" si="2"/>
        <v>0</v>
      </c>
      <c r="K24" s="169"/>
      <c r="L24" s="166"/>
      <c r="M24" s="163" t="s">
        <v>262</v>
      </c>
    </row>
    <row r="25" spans="1:13" s="93" customFormat="1" ht="10.15" customHeight="1">
      <c r="A25" s="94" t="s">
        <v>281</v>
      </c>
      <c r="B25" s="165" t="s">
        <v>282</v>
      </c>
      <c r="C25" s="155"/>
      <c r="D25" s="156"/>
      <c r="E25" s="100">
        <f t="shared" si="1"/>
        <v>0</v>
      </c>
      <c r="F25" s="166"/>
      <c r="G25" s="166"/>
      <c r="H25" s="167"/>
      <c r="I25" s="168"/>
      <c r="J25" s="100">
        <f t="shared" si="2"/>
        <v>0</v>
      </c>
      <c r="K25" s="169"/>
      <c r="L25" s="166"/>
      <c r="M25" s="163" t="s">
        <v>262</v>
      </c>
    </row>
    <row r="26" spans="1:13" s="93" customFormat="1" ht="10.15" customHeight="1">
      <c r="A26" s="94" t="s">
        <v>283</v>
      </c>
      <c r="B26" s="171" t="s">
        <v>284</v>
      </c>
      <c r="C26" s="155">
        <v>2</v>
      </c>
      <c r="D26" s="156"/>
      <c r="E26" s="100">
        <f t="shared" si="1"/>
        <v>2</v>
      </c>
      <c r="F26" s="166">
        <f>+E26*45</f>
        <v>90</v>
      </c>
      <c r="G26" s="166"/>
      <c r="H26" s="167">
        <v>0</v>
      </c>
      <c r="I26" s="168">
        <v>0</v>
      </c>
      <c r="J26" s="100">
        <f t="shared" si="2"/>
        <v>0</v>
      </c>
      <c r="K26" s="169"/>
      <c r="L26" s="166"/>
      <c r="M26" s="163" t="s">
        <v>259</v>
      </c>
    </row>
    <row r="27" spans="1:13" s="93" customFormat="1" ht="10.15" customHeight="1">
      <c r="A27" s="94" t="s">
        <v>285</v>
      </c>
      <c r="B27" s="171" t="s">
        <v>286</v>
      </c>
      <c r="C27" s="155"/>
      <c r="D27" s="156"/>
      <c r="E27" s="100">
        <f t="shared" si="1"/>
        <v>0</v>
      </c>
      <c r="F27" s="166"/>
      <c r="G27" s="166"/>
      <c r="H27" s="167"/>
      <c r="I27" s="168"/>
      <c r="J27" s="100">
        <f t="shared" si="2"/>
        <v>0</v>
      </c>
      <c r="K27" s="169"/>
      <c r="L27" s="166"/>
      <c r="M27" s="163" t="s">
        <v>259</v>
      </c>
    </row>
    <row r="28" spans="1:13" s="93" customFormat="1" ht="10.15" customHeight="1">
      <c r="A28" s="94" t="s">
        <v>287</v>
      </c>
      <c r="B28" s="171" t="s">
        <v>288</v>
      </c>
      <c r="C28" s="155">
        <v>1</v>
      </c>
      <c r="D28" s="156"/>
      <c r="E28" s="100">
        <f t="shared" si="1"/>
        <v>1</v>
      </c>
      <c r="F28" s="166">
        <v>45</v>
      </c>
      <c r="G28" s="166"/>
      <c r="H28" s="167">
        <v>1</v>
      </c>
      <c r="I28" s="168">
        <v>0</v>
      </c>
      <c r="J28" s="100">
        <f t="shared" si="2"/>
        <v>1</v>
      </c>
      <c r="K28" s="169"/>
      <c r="L28" s="166"/>
      <c r="M28" s="163" t="s">
        <v>259</v>
      </c>
    </row>
    <row r="29" spans="1:13" s="93" customFormat="1" ht="10.15" customHeight="1">
      <c r="A29" s="94" t="s">
        <v>289</v>
      </c>
      <c r="B29" s="171" t="s">
        <v>290</v>
      </c>
      <c r="C29" s="155"/>
      <c r="D29" s="156"/>
      <c r="E29" s="100">
        <f t="shared" si="1"/>
        <v>0</v>
      </c>
      <c r="F29" s="166"/>
      <c r="G29" s="166"/>
      <c r="H29" s="167"/>
      <c r="I29" s="168"/>
      <c r="J29" s="100">
        <f t="shared" si="2"/>
        <v>0</v>
      </c>
      <c r="K29" s="169"/>
      <c r="L29" s="166"/>
      <c r="M29" s="163" t="s">
        <v>259</v>
      </c>
    </row>
    <row r="30" spans="1:13" s="93" customFormat="1" ht="10.15" customHeight="1">
      <c r="A30" s="94" t="s">
        <v>291</v>
      </c>
      <c r="B30" s="171" t="s">
        <v>292</v>
      </c>
      <c r="C30" s="155">
        <v>16</v>
      </c>
      <c r="D30" s="156">
        <v>3</v>
      </c>
      <c r="E30" s="100">
        <f t="shared" si="1"/>
        <v>19</v>
      </c>
      <c r="F30" s="166">
        <f>43*E30</f>
        <v>817</v>
      </c>
      <c r="G30" s="166"/>
      <c r="H30" s="167"/>
      <c r="I30" s="168"/>
      <c r="J30" s="100">
        <f t="shared" si="2"/>
        <v>0</v>
      </c>
      <c r="K30" s="169"/>
      <c r="L30" s="166"/>
      <c r="M30" s="163" t="s">
        <v>259</v>
      </c>
    </row>
    <row r="31" spans="1:13" s="93" customFormat="1" ht="10.15" customHeight="1">
      <c r="A31" s="94" t="s">
        <v>293</v>
      </c>
      <c r="B31" s="171" t="s">
        <v>294</v>
      </c>
      <c r="C31" s="155">
        <v>8</v>
      </c>
      <c r="D31" s="156"/>
      <c r="E31" s="100">
        <f t="shared" si="1"/>
        <v>8</v>
      </c>
      <c r="F31" s="166">
        <f>43*E31</f>
        <v>344</v>
      </c>
      <c r="G31" s="166"/>
      <c r="H31" s="167">
        <v>0</v>
      </c>
      <c r="I31" s="168">
        <v>0</v>
      </c>
      <c r="J31" s="100">
        <f t="shared" si="2"/>
        <v>0</v>
      </c>
      <c r="K31" s="169"/>
      <c r="L31" s="166"/>
      <c r="M31" s="163" t="s">
        <v>259</v>
      </c>
    </row>
    <row r="32" spans="1:13" s="93" customFormat="1" ht="10.15" customHeight="1">
      <c r="A32" s="94" t="s">
        <v>295</v>
      </c>
      <c r="B32" s="171" t="s">
        <v>296</v>
      </c>
      <c r="C32" s="155">
        <v>89</v>
      </c>
      <c r="D32" s="156">
        <v>11</v>
      </c>
      <c r="E32" s="100">
        <f t="shared" si="1"/>
        <v>100</v>
      </c>
      <c r="F32" s="166">
        <f>42*E32</f>
        <v>4200</v>
      </c>
      <c r="G32" s="166"/>
      <c r="H32" s="167">
        <f>100-E32</f>
        <v>0</v>
      </c>
      <c r="I32" s="168"/>
      <c r="J32" s="100">
        <f t="shared" si="2"/>
        <v>0</v>
      </c>
      <c r="K32" s="169"/>
      <c r="L32" s="166"/>
      <c r="M32" s="163" t="s">
        <v>259</v>
      </c>
    </row>
    <row r="33" spans="1:13" s="93" customFormat="1" ht="10.15" customHeight="1">
      <c r="A33" s="94" t="s">
        <v>297</v>
      </c>
      <c r="B33" s="171" t="s">
        <v>298</v>
      </c>
      <c r="C33" s="155">
        <v>72</v>
      </c>
      <c r="D33" s="156">
        <v>8</v>
      </c>
      <c r="E33" s="100">
        <f t="shared" si="1"/>
        <v>80</v>
      </c>
      <c r="F33" s="166">
        <f>42*E33</f>
        <v>3360</v>
      </c>
      <c r="G33" s="166"/>
      <c r="H33" s="167">
        <f>80-E33</f>
        <v>0</v>
      </c>
      <c r="I33" s="168"/>
      <c r="J33" s="100">
        <f t="shared" si="2"/>
        <v>0</v>
      </c>
      <c r="K33" s="169"/>
      <c r="L33" s="166"/>
      <c r="M33" s="163" t="s">
        <v>259</v>
      </c>
    </row>
    <row r="34" spans="1:13" s="93" customFormat="1" ht="10.15" customHeight="1">
      <c r="A34" s="94" t="s">
        <v>299</v>
      </c>
      <c r="B34" s="358" t="s">
        <v>300</v>
      </c>
      <c r="C34" s="155">
        <v>8</v>
      </c>
      <c r="D34" s="156">
        <v>2</v>
      </c>
      <c r="E34" s="100">
        <f t="shared" si="1"/>
        <v>10</v>
      </c>
      <c r="F34" s="166">
        <f>42*E34</f>
        <v>420</v>
      </c>
      <c r="G34" s="166"/>
      <c r="H34" s="167">
        <v>0</v>
      </c>
      <c r="I34" s="168"/>
      <c r="J34" s="100">
        <f t="shared" si="2"/>
        <v>0</v>
      </c>
      <c r="K34" s="169"/>
      <c r="L34" s="166"/>
      <c r="M34" s="163" t="s">
        <v>259</v>
      </c>
    </row>
    <row r="35" spans="1:13" s="93" customFormat="1" ht="10.15" customHeight="1">
      <c r="A35" s="94" t="s">
        <v>301</v>
      </c>
      <c r="B35" s="171" t="s">
        <v>302</v>
      </c>
      <c r="C35" s="155">
        <v>1</v>
      </c>
      <c r="D35" s="156"/>
      <c r="E35" s="100">
        <f t="shared" si="1"/>
        <v>1</v>
      </c>
      <c r="F35" s="166">
        <v>42</v>
      </c>
      <c r="G35" s="166"/>
      <c r="H35" s="167">
        <v>0</v>
      </c>
      <c r="I35" s="168">
        <v>0</v>
      </c>
      <c r="J35" s="100">
        <f t="shared" si="2"/>
        <v>0</v>
      </c>
      <c r="K35" s="169"/>
      <c r="L35" s="166"/>
      <c r="M35" s="163" t="s">
        <v>259</v>
      </c>
    </row>
    <row r="36" spans="1:13" s="93" customFormat="1" ht="10.15" customHeight="1">
      <c r="A36" s="94" t="s">
        <v>303</v>
      </c>
      <c r="B36" s="171" t="s">
        <v>304</v>
      </c>
      <c r="C36" s="155"/>
      <c r="D36" s="156"/>
      <c r="E36" s="100">
        <f t="shared" si="1"/>
        <v>0</v>
      </c>
      <c r="F36" s="166"/>
      <c r="G36" s="166"/>
      <c r="H36" s="167"/>
      <c r="I36" s="168"/>
      <c r="J36" s="100">
        <f t="shared" si="2"/>
        <v>0</v>
      </c>
      <c r="K36" s="169"/>
      <c r="L36" s="166"/>
      <c r="M36" s="163" t="s">
        <v>259</v>
      </c>
    </row>
    <row r="37" spans="1:13" s="93" customFormat="1" ht="10.15" customHeight="1">
      <c r="A37" s="94" t="s">
        <v>305</v>
      </c>
      <c r="B37" s="171" t="s">
        <v>306</v>
      </c>
      <c r="C37" s="155"/>
      <c r="D37" s="156"/>
      <c r="E37" s="100">
        <f t="shared" si="1"/>
        <v>0</v>
      </c>
      <c r="F37" s="166"/>
      <c r="G37" s="166"/>
      <c r="H37" s="167"/>
      <c r="I37" s="168"/>
      <c r="J37" s="100">
        <f t="shared" si="2"/>
        <v>0</v>
      </c>
      <c r="K37" s="169"/>
      <c r="L37" s="166"/>
      <c r="M37" s="163" t="s">
        <v>259</v>
      </c>
    </row>
    <row r="38" spans="1:13" s="93" customFormat="1" ht="10.15" customHeight="1">
      <c r="A38" s="94" t="s">
        <v>307</v>
      </c>
      <c r="B38" s="171" t="s">
        <v>308</v>
      </c>
      <c r="C38" s="155">
        <v>4</v>
      </c>
      <c r="D38" s="156"/>
      <c r="E38" s="100">
        <f t="shared" si="1"/>
        <v>4</v>
      </c>
      <c r="F38" s="166">
        <f>38*E38</f>
        <v>152</v>
      </c>
      <c r="G38" s="166"/>
      <c r="H38" s="167"/>
      <c r="I38" s="168">
        <v>0</v>
      </c>
      <c r="J38" s="100">
        <f t="shared" si="2"/>
        <v>0</v>
      </c>
      <c r="K38" s="169"/>
      <c r="L38" s="166"/>
      <c r="M38" s="163" t="s">
        <v>259</v>
      </c>
    </row>
    <row r="39" spans="1:13" s="93" customFormat="1" ht="10.15" customHeight="1">
      <c r="A39" s="94" t="s">
        <v>309</v>
      </c>
      <c r="B39" s="171" t="s">
        <v>310</v>
      </c>
      <c r="C39" s="155">
        <v>3</v>
      </c>
      <c r="D39" s="156">
        <v>0</v>
      </c>
      <c r="E39" s="100">
        <f t="shared" ref="E39:E70" si="3">+D39+C39</f>
        <v>3</v>
      </c>
      <c r="F39" s="166">
        <f>42*E39</f>
        <v>126</v>
      </c>
      <c r="G39" s="166"/>
      <c r="H39" s="167">
        <v>1</v>
      </c>
      <c r="I39" s="168">
        <v>0</v>
      </c>
      <c r="J39" s="100">
        <f t="shared" ref="J39:J70" si="4">H39-I39</f>
        <v>1</v>
      </c>
      <c r="K39" s="169"/>
      <c r="L39" s="166"/>
      <c r="M39" s="163" t="s">
        <v>259</v>
      </c>
    </row>
    <row r="40" spans="1:13" s="93" customFormat="1" ht="10.15" customHeight="1">
      <c r="A40" s="94" t="s">
        <v>311</v>
      </c>
      <c r="B40" s="171" t="s">
        <v>312</v>
      </c>
      <c r="C40" s="155">
        <v>5</v>
      </c>
      <c r="D40" s="156">
        <v>1</v>
      </c>
      <c r="E40" s="100">
        <f t="shared" si="3"/>
        <v>6</v>
      </c>
      <c r="F40" s="166">
        <f>42*E40</f>
        <v>252</v>
      </c>
      <c r="G40" s="166"/>
      <c r="H40" s="167">
        <v>0</v>
      </c>
      <c r="I40" s="168">
        <v>0</v>
      </c>
      <c r="J40" s="100">
        <f t="shared" si="4"/>
        <v>0</v>
      </c>
      <c r="K40" s="169"/>
      <c r="L40" s="166"/>
      <c r="M40" s="163" t="s">
        <v>313</v>
      </c>
    </row>
    <row r="41" spans="1:13" s="93" customFormat="1" ht="10.15" customHeight="1">
      <c r="A41" s="94" t="s">
        <v>314</v>
      </c>
      <c r="B41" s="171" t="s">
        <v>315</v>
      </c>
      <c r="C41" s="155">
        <v>1</v>
      </c>
      <c r="D41" s="156"/>
      <c r="E41" s="100">
        <f t="shared" si="3"/>
        <v>1</v>
      </c>
      <c r="F41" s="166">
        <v>100</v>
      </c>
      <c r="G41" s="166"/>
      <c r="H41" s="167">
        <v>1</v>
      </c>
      <c r="I41" s="168">
        <v>1</v>
      </c>
      <c r="J41" s="100">
        <f t="shared" si="4"/>
        <v>0</v>
      </c>
      <c r="K41" s="169"/>
      <c r="L41" s="166"/>
      <c r="M41" s="163" t="s">
        <v>316</v>
      </c>
    </row>
    <row r="42" spans="1:13" s="93" customFormat="1" ht="10.15" customHeight="1">
      <c r="A42" s="94" t="s">
        <v>317</v>
      </c>
      <c r="B42" s="171" t="s">
        <v>318</v>
      </c>
      <c r="C42" s="155"/>
      <c r="D42" s="156"/>
      <c r="E42" s="100">
        <f t="shared" si="3"/>
        <v>0</v>
      </c>
      <c r="F42" s="166"/>
      <c r="G42" s="166"/>
      <c r="H42" s="167"/>
      <c r="I42" s="168"/>
      <c r="J42" s="100">
        <f t="shared" si="4"/>
        <v>0</v>
      </c>
      <c r="K42" s="169"/>
      <c r="L42" s="166"/>
      <c r="M42" s="163" t="s">
        <v>316</v>
      </c>
    </row>
    <row r="43" spans="1:13" s="93" customFormat="1" ht="10.15" customHeight="1">
      <c r="A43" s="94" t="s">
        <v>319</v>
      </c>
      <c r="B43" s="171" t="s">
        <v>320</v>
      </c>
      <c r="C43" s="155"/>
      <c r="D43" s="156"/>
      <c r="E43" s="100">
        <f t="shared" si="3"/>
        <v>0</v>
      </c>
      <c r="F43" s="166"/>
      <c r="G43" s="166"/>
      <c r="H43" s="167"/>
      <c r="I43" s="168"/>
      <c r="J43" s="100">
        <f t="shared" si="4"/>
        <v>0</v>
      </c>
      <c r="K43" s="169"/>
      <c r="L43" s="166"/>
      <c r="M43" s="163" t="s">
        <v>316</v>
      </c>
    </row>
    <row r="44" spans="1:13" s="93" customFormat="1" ht="10.15" customHeight="1">
      <c r="A44" s="94" t="s">
        <v>321</v>
      </c>
      <c r="B44" s="171" t="s">
        <v>322</v>
      </c>
      <c r="C44" s="155"/>
      <c r="D44" s="156"/>
      <c r="E44" s="100">
        <f t="shared" si="3"/>
        <v>0</v>
      </c>
      <c r="F44" s="166"/>
      <c r="G44" s="166"/>
      <c r="H44" s="167"/>
      <c r="I44" s="168"/>
      <c r="J44" s="100">
        <f t="shared" si="4"/>
        <v>0</v>
      </c>
      <c r="K44" s="169"/>
      <c r="L44" s="166"/>
      <c r="M44" s="163" t="s">
        <v>316</v>
      </c>
    </row>
    <row r="45" spans="1:13" s="93" customFormat="1" ht="10.15" customHeight="1">
      <c r="A45" s="94" t="s">
        <v>323</v>
      </c>
      <c r="B45" s="358" t="s">
        <v>324</v>
      </c>
      <c r="C45" s="155">
        <v>3</v>
      </c>
      <c r="D45" s="156">
        <v>15</v>
      </c>
      <c r="E45" s="100">
        <f t="shared" si="3"/>
        <v>18</v>
      </c>
      <c r="F45" s="166">
        <f>35*E45</f>
        <v>630</v>
      </c>
      <c r="G45" s="166"/>
      <c r="H45" s="167">
        <v>2</v>
      </c>
      <c r="I45" s="168"/>
      <c r="J45" s="100">
        <f t="shared" si="4"/>
        <v>2</v>
      </c>
      <c r="K45" s="169"/>
      <c r="L45" s="166"/>
      <c r="M45" s="163" t="s">
        <v>313</v>
      </c>
    </row>
    <row r="46" spans="1:13" s="93" customFormat="1" ht="10.15" customHeight="1">
      <c r="A46" s="94" t="s">
        <v>325</v>
      </c>
      <c r="B46" s="171" t="s">
        <v>326</v>
      </c>
      <c r="C46" s="155"/>
      <c r="D46" s="156"/>
      <c r="E46" s="100">
        <f t="shared" si="3"/>
        <v>0</v>
      </c>
      <c r="F46" s="166"/>
      <c r="G46" s="166"/>
      <c r="H46" s="167"/>
      <c r="I46" s="168"/>
      <c r="J46" s="100">
        <f t="shared" si="4"/>
        <v>0</v>
      </c>
      <c r="K46" s="169"/>
      <c r="L46" s="166"/>
      <c r="M46" s="163" t="s">
        <v>313</v>
      </c>
    </row>
    <row r="47" spans="1:13" s="93" customFormat="1" ht="10.15" customHeight="1">
      <c r="A47" s="94" t="s">
        <v>327</v>
      </c>
      <c r="B47" s="358" t="s">
        <v>328</v>
      </c>
      <c r="C47" s="155">
        <v>7</v>
      </c>
      <c r="D47" s="156">
        <v>4</v>
      </c>
      <c r="E47" s="100">
        <f t="shared" si="3"/>
        <v>11</v>
      </c>
      <c r="F47" s="166">
        <f>40*E47</f>
        <v>440</v>
      </c>
      <c r="G47" s="166"/>
      <c r="H47" s="167">
        <v>1</v>
      </c>
      <c r="I47" s="168"/>
      <c r="J47" s="100">
        <f t="shared" si="4"/>
        <v>1</v>
      </c>
      <c r="K47" s="169"/>
      <c r="L47" s="166"/>
      <c r="M47" s="163" t="s">
        <v>313</v>
      </c>
    </row>
    <row r="48" spans="1:13" s="93" customFormat="1" ht="10.15" customHeight="1">
      <c r="A48" s="94" t="s">
        <v>329</v>
      </c>
      <c r="B48" s="171" t="s">
        <v>330</v>
      </c>
      <c r="C48" s="155">
        <v>61</v>
      </c>
      <c r="D48" s="156"/>
      <c r="E48" s="100">
        <f t="shared" si="3"/>
        <v>61</v>
      </c>
      <c r="F48" s="166">
        <f>35*E48</f>
        <v>2135</v>
      </c>
      <c r="G48" s="166"/>
      <c r="H48" s="167">
        <f>80-E48</f>
        <v>19</v>
      </c>
      <c r="I48" s="168"/>
      <c r="J48" s="100">
        <f t="shared" si="4"/>
        <v>19</v>
      </c>
      <c r="K48" s="169"/>
      <c r="L48" s="166"/>
      <c r="M48" s="163" t="s">
        <v>313</v>
      </c>
    </row>
    <row r="49" spans="1:13" s="93" customFormat="1" ht="10.15" customHeight="1">
      <c r="A49" s="94" t="s">
        <v>331</v>
      </c>
      <c r="B49" s="171" t="s">
        <v>332</v>
      </c>
      <c r="C49" s="155"/>
      <c r="D49" s="156"/>
      <c r="E49" s="100">
        <f t="shared" si="3"/>
        <v>0</v>
      </c>
      <c r="F49" s="166"/>
      <c r="G49" s="166"/>
      <c r="H49" s="167"/>
      <c r="I49" s="168"/>
      <c r="J49" s="100">
        <f t="shared" si="4"/>
        <v>0</v>
      </c>
      <c r="K49" s="169"/>
      <c r="L49" s="166"/>
      <c r="M49" s="163" t="s">
        <v>313</v>
      </c>
    </row>
    <row r="50" spans="1:13" s="93" customFormat="1" ht="10.15" customHeight="1">
      <c r="A50" s="94" t="s">
        <v>333</v>
      </c>
      <c r="B50" s="171" t="s">
        <v>334</v>
      </c>
      <c r="C50" s="155"/>
      <c r="D50" s="156"/>
      <c r="E50" s="100">
        <f t="shared" si="3"/>
        <v>0</v>
      </c>
      <c r="F50" s="166"/>
      <c r="G50" s="166"/>
      <c r="H50" s="167"/>
      <c r="I50" s="168"/>
      <c r="J50" s="100">
        <f t="shared" si="4"/>
        <v>0</v>
      </c>
      <c r="K50" s="169"/>
      <c r="L50" s="166"/>
      <c r="M50" s="163" t="s">
        <v>313</v>
      </c>
    </row>
    <row r="51" spans="1:13" s="93" customFormat="1" ht="10.15" customHeight="1">
      <c r="A51" s="94" t="s">
        <v>335</v>
      </c>
      <c r="B51" s="171" t="s">
        <v>336</v>
      </c>
      <c r="C51" s="155"/>
      <c r="D51" s="156"/>
      <c r="E51" s="100">
        <f t="shared" si="3"/>
        <v>0</v>
      </c>
      <c r="F51" s="166"/>
      <c r="G51" s="166"/>
      <c r="H51" s="167"/>
      <c r="I51" s="168"/>
      <c r="J51" s="100">
        <f t="shared" si="4"/>
        <v>0</v>
      </c>
      <c r="K51" s="169"/>
      <c r="L51" s="166"/>
      <c r="M51" s="163" t="s">
        <v>337</v>
      </c>
    </row>
    <row r="52" spans="1:13" s="93" customFormat="1" ht="10.15" customHeight="1">
      <c r="A52" s="94" t="s">
        <v>338</v>
      </c>
      <c r="B52" s="171" t="s">
        <v>339</v>
      </c>
      <c r="C52" s="155">
        <v>0</v>
      </c>
      <c r="D52" s="156"/>
      <c r="E52" s="100">
        <f t="shared" si="3"/>
        <v>0</v>
      </c>
      <c r="F52" s="166">
        <v>100</v>
      </c>
      <c r="G52" s="166"/>
      <c r="H52" s="167">
        <v>1</v>
      </c>
      <c r="I52" s="168"/>
      <c r="J52" s="100">
        <f t="shared" si="4"/>
        <v>1</v>
      </c>
      <c r="K52" s="169"/>
      <c r="L52" s="166"/>
      <c r="M52" s="163" t="s">
        <v>340</v>
      </c>
    </row>
    <row r="53" spans="1:13" s="93" customFormat="1" ht="10.15" customHeight="1">
      <c r="A53" s="94" t="s">
        <v>341</v>
      </c>
      <c r="B53" s="171" t="s">
        <v>342</v>
      </c>
      <c r="C53" s="155">
        <v>1</v>
      </c>
      <c r="D53" s="156"/>
      <c r="E53" s="100">
        <f t="shared" si="3"/>
        <v>1</v>
      </c>
      <c r="F53" s="166">
        <f>90*E53</f>
        <v>90</v>
      </c>
      <c r="G53" s="166"/>
      <c r="H53" s="167">
        <v>6</v>
      </c>
      <c r="I53" s="168">
        <v>4</v>
      </c>
      <c r="J53" s="100">
        <f t="shared" si="4"/>
        <v>2</v>
      </c>
      <c r="K53" s="169"/>
      <c r="L53" s="166"/>
      <c r="M53" s="163" t="s">
        <v>340</v>
      </c>
    </row>
    <row r="54" spans="1:13" s="93" customFormat="1" ht="10.15" customHeight="1">
      <c r="A54" s="94" t="s">
        <v>343</v>
      </c>
      <c r="B54" s="171" t="s">
        <v>344</v>
      </c>
      <c r="C54" s="155">
        <v>31</v>
      </c>
      <c r="D54" s="156">
        <v>3</v>
      </c>
      <c r="E54" s="100">
        <f t="shared" si="3"/>
        <v>34</v>
      </c>
      <c r="F54" s="166">
        <f>90*E54</f>
        <v>3060</v>
      </c>
      <c r="G54" s="166"/>
      <c r="H54" s="167">
        <f>34-E54</f>
        <v>0</v>
      </c>
      <c r="I54" s="168"/>
      <c r="J54" s="100">
        <f t="shared" si="4"/>
        <v>0</v>
      </c>
      <c r="K54" s="169"/>
      <c r="L54" s="166"/>
      <c r="M54" s="163" t="s">
        <v>340</v>
      </c>
    </row>
    <row r="55" spans="1:13" s="93" customFormat="1" ht="10.15" customHeight="1">
      <c r="A55" s="94" t="s">
        <v>345</v>
      </c>
      <c r="B55" s="171" t="s">
        <v>346</v>
      </c>
      <c r="C55" s="155"/>
      <c r="D55" s="156"/>
      <c r="E55" s="100">
        <f t="shared" si="3"/>
        <v>0</v>
      </c>
      <c r="F55" s="166"/>
      <c r="G55" s="166"/>
      <c r="H55" s="167"/>
      <c r="I55" s="168"/>
      <c r="J55" s="100">
        <f t="shared" si="4"/>
        <v>0</v>
      </c>
      <c r="K55" s="169"/>
      <c r="L55" s="166"/>
      <c r="M55" s="163" t="s">
        <v>340</v>
      </c>
    </row>
    <row r="56" spans="1:13" s="93" customFormat="1" ht="10.15" customHeight="1">
      <c r="A56" s="94" t="s">
        <v>347</v>
      </c>
      <c r="B56" s="171" t="s">
        <v>348</v>
      </c>
      <c r="C56" s="155">
        <v>3</v>
      </c>
      <c r="D56" s="156">
        <v>2</v>
      </c>
      <c r="E56" s="100">
        <f t="shared" si="3"/>
        <v>5</v>
      </c>
      <c r="F56" s="166">
        <f>90*E56</f>
        <v>450</v>
      </c>
      <c r="G56" s="166"/>
      <c r="H56" s="167"/>
      <c r="I56" s="168"/>
      <c r="J56" s="100">
        <f t="shared" si="4"/>
        <v>0</v>
      </c>
      <c r="K56" s="169"/>
      <c r="L56" s="166"/>
      <c r="M56" s="163" t="s">
        <v>340</v>
      </c>
    </row>
    <row r="57" spans="1:13" s="93" customFormat="1" ht="10.15" customHeight="1">
      <c r="A57" s="94" t="s">
        <v>349</v>
      </c>
      <c r="B57" s="171" t="s">
        <v>350</v>
      </c>
      <c r="C57" s="155">
        <v>1</v>
      </c>
      <c r="D57" s="156"/>
      <c r="E57" s="100">
        <f t="shared" si="3"/>
        <v>1</v>
      </c>
      <c r="F57" s="166">
        <v>90</v>
      </c>
      <c r="G57" s="166"/>
      <c r="H57" s="167">
        <v>1</v>
      </c>
      <c r="I57" s="168">
        <v>0</v>
      </c>
      <c r="J57" s="100">
        <f t="shared" si="4"/>
        <v>1</v>
      </c>
      <c r="K57" s="169"/>
      <c r="L57" s="166"/>
      <c r="M57" s="163" t="s">
        <v>340</v>
      </c>
    </row>
    <row r="58" spans="1:13" s="93" customFormat="1" ht="10.15" customHeight="1">
      <c r="A58" s="94" t="s">
        <v>351</v>
      </c>
      <c r="B58" s="171" t="s">
        <v>352</v>
      </c>
      <c r="C58" s="155">
        <v>4</v>
      </c>
      <c r="D58" s="156"/>
      <c r="E58" s="100">
        <f t="shared" si="3"/>
        <v>4</v>
      </c>
      <c r="F58" s="166"/>
      <c r="G58" s="166"/>
      <c r="H58" s="167"/>
      <c r="I58" s="168"/>
      <c r="J58" s="100">
        <f t="shared" si="4"/>
        <v>0</v>
      </c>
      <c r="K58" s="169"/>
      <c r="L58" s="166"/>
      <c r="M58" s="163" t="s">
        <v>340</v>
      </c>
    </row>
    <row r="59" spans="1:13" s="93" customFormat="1" ht="10.15" customHeight="1">
      <c r="A59" s="94" t="s">
        <v>353</v>
      </c>
      <c r="B59" s="171" t="s">
        <v>354</v>
      </c>
      <c r="C59" s="155"/>
      <c r="D59" s="156">
        <v>0</v>
      </c>
      <c r="E59" s="100">
        <f t="shared" si="3"/>
        <v>0</v>
      </c>
      <c r="F59" s="166">
        <v>90</v>
      </c>
      <c r="G59" s="166"/>
      <c r="H59" s="167">
        <v>1</v>
      </c>
      <c r="I59" s="168"/>
      <c r="J59" s="100">
        <f t="shared" si="4"/>
        <v>1</v>
      </c>
      <c r="K59" s="169"/>
      <c r="L59" s="166"/>
      <c r="M59" s="163" t="s">
        <v>340</v>
      </c>
    </row>
    <row r="60" spans="1:13" s="93" customFormat="1" ht="10.15" customHeight="1">
      <c r="A60" s="94" t="s">
        <v>355</v>
      </c>
      <c r="B60" s="171" t="s">
        <v>356</v>
      </c>
      <c r="C60" s="155">
        <v>9</v>
      </c>
      <c r="D60" s="156"/>
      <c r="E60" s="100">
        <f t="shared" si="3"/>
        <v>9</v>
      </c>
      <c r="F60" s="166">
        <f>90*E60</f>
        <v>810</v>
      </c>
      <c r="G60" s="166"/>
      <c r="H60" s="167"/>
      <c r="I60" s="168"/>
      <c r="J60" s="100">
        <f t="shared" si="4"/>
        <v>0</v>
      </c>
      <c r="K60" s="169"/>
      <c r="L60" s="166"/>
      <c r="M60" s="163" t="s">
        <v>340</v>
      </c>
    </row>
    <row r="61" spans="1:13" s="93" customFormat="1" ht="10.15" customHeight="1">
      <c r="A61" s="94" t="s">
        <v>357</v>
      </c>
      <c r="B61" s="171" t="s">
        <v>358</v>
      </c>
      <c r="C61" s="155">
        <v>7</v>
      </c>
      <c r="D61" s="156"/>
      <c r="E61" s="100">
        <f t="shared" si="3"/>
        <v>7</v>
      </c>
      <c r="F61" s="166">
        <f>100*E61</f>
        <v>700</v>
      </c>
      <c r="G61" s="166"/>
      <c r="H61" s="167">
        <v>8</v>
      </c>
      <c r="I61" s="168">
        <v>2</v>
      </c>
      <c r="J61" s="100">
        <f t="shared" si="4"/>
        <v>6</v>
      </c>
      <c r="K61" s="169"/>
      <c r="L61" s="166"/>
      <c r="M61" s="163" t="s">
        <v>316</v>
      </c>
    </row>
    <row r="62" spans="1:13" s="93" customFormat="1" ht="10.15" customHeight="1">
      <c r="A62" s="94" t="s">
        <v>359</v>
      </c>
      <c r="B62" s="358" t="s">
        <v>360</v>
      </c>
      <c r="C62" s="155">
        <v>28</v>
      </c>
      <c r="D62" s="156">
        <v>8</v>
      </c>
      <c r="E62" s="100">
        <f t="shared" si="3"/>
        <v>36</v>
      </c>
      <c r="F62" s="166">
        <f>35*E62</f>
        <v>1260</v>
      </c>
      <c r="G62" s="166"/>
      <c r="H62" s="167">
        <f>40-E62</f>
        <v>4</v>
      </c>
      <c r="I62" s="168">
        <v>2</v>
      </c>
      <c r="J62" s="100">
        <f t="shared" si="4"/>
        <v>2</v>
      </c>
      <c r="K62" s="169"/>
      <c r="L62" s="166"/>
      <c r="M62" s="163" t="s">
        <v>361</v>
      </c>
    </row>
    <row r="63" spans="1:13" s="93" customFormat="1" ht="10.15" customHeight="1">
      <c r="A63" s="94" t="s">
        <v>362</v>
      </c>
      <c r="B63" s="171" t="s">
        <v>363</v>
      </c>
      <c r="C63" s="155">
        <v>17</v>
      </c>
      <c r="D63" s="156"/>
      <c r="E63" s="100">
        <f t="shared" si="3"/>
        <v>17</v>
      </c>
      <c r="F63" s="166">
        <f>30*E63</f>
        <v>510</v>
      </c>
      <c r="G63" s="166"/>
      <c r="H63" s="167">
        <f>23-E63</f>
        <v>6</v>
      </c>
      <c r="I63" s="168">
        <v>0</v>
      </c>
      <c r="J63" s="100">
        <f t="shared" si="4"/>
        <v>6</v>
      </c>
      <c r="K63" s="169"/>
      <c r="L63" s="166"/>
      <c r="M63" s="163" t="s">
        <v>361</v>
      </c>
    </row>
    <row r="64" spans="1:13" s="93" customFormat="1" ht="10.15" customHeight="1">
      <c r="A64" s="94" t="s">
        <v>364</v>
      </c>
      <c r="B64" s="171" t="s">
        <v>365</v>
      </c>
      <c r="C64" s="155">
        <v>58</v>
      </c>
      <c r="D64" s="156"/>
      <c r="E64" s="100">
        <f t="shared" si="3"/>
        <v>58</v>
      </c>
      <c r="F64" s="166">
        <f>33*E64</f>
        <v>1914</v>
      </c>
      <c r="G64" s="166"/>
      <c r="H64" s="167">
        <v>15</v>
      </c>
      <c r="I64" s="168">
        <v>5</v>
      </c>
      <c r="J64" s="100">
        <f t="shared" si="4"/>
        <v>10</v>
      </c>
      <c r="K64" s="169"/>
      <c r="L64" s="166"/>
      <c r="M64" s="163" t="s">
        <v>361</v>
      </c>
    </row>
    <row r="65" spans="1:13" s="93" customFormat="1" ht="10.15" customHeight="1">
      <c r="A65" s="94" t="s">
        <v>366</v>
      </c>
      <c r="B65" s="358" t="s">
        <v>367</v>
      </c>
      <c r="C65" s="155">
        <v>34</v>
      </c>
      <c r="D65" s="156">
        <v>7</v>
      </c>
      <c r="E65" s="100">
        <f t="shared" si="3"/>
        <v>41</v>
      </c>
      <c r="F65" s="166">
        <f>41*E65</f>
        <v>1681</v>
      </c>
      <c r="G65" s="166"/>
      <c r="H65" s="167">
        <v>11</v>
      </c>
      <c r="I65" s="168">
        <v>4</v>
      </c>
      <c r="J65" s="100">
        <f t="shared" si="4"/>
        <v>7</v>
      </c>
      <c r="K65" s="169"/>
      <c r="L65" s="166"/>
      <c r="M65" s="163" t="s">
        <v>361</v>
      </c>
    </row>
    <row r="66" spans="1:13" s="93" customFormat="1" ht="10.15" customHeight="1">
      <c r="A66" s="94" t="s">
        <v>368</v>
      </c>
      <c r="B66" s="171" t="s">
        <v>369</v>
      </c>
      <c r="C66" s="155"/>
      <c r="D66" s="156"/>
      <c r="E66" s="100">
        <f t="shared" si="3"/>
        <v>0</v>
      </c>
      <c r="F66" s="166"/>
      <c r="G66" s="166"/>
      <c r="H66" s="167"/>
      <c r="I66" s="168"/>
      <c r="J66" s="100">
        <f t="shared" si="4"/>
        <v>0</v>
      </c>
      <c r="K66" s="169"/>
      <c r="L66" s="166"/>
      <c r="M66" s="163" t="s">
        <v>361</v>
      </c>
    </row>
    <row r="67" spans="1:13" s="93" customFormat="1" ht="10.15" customHeight="1">
      <c r="A67" s="94" t="s">
        <v>370</v>
      </c>
      <c r="B67" s="171" t="s">
        <v>334</v>
      </c>
      <c r="C67" s="155"/>
      <c r="D67" s="156"/>
      <c r="E67" s="100">
        <f t="shared" si="3"/>
        <v>0</v>
      </c>
      <c r="F67" s="166"/>
      <c r="G67" s="166"/>
      <c r="H67" s="167"/>
      <c r="I67" s="168"/>
      <c r="J67" s="100">
        <f t="shared" si="4"/>
        <v>0</v>
      </c>
      <c r="K67" s="169"/>
      <c r="L67" s="166"/>
      <c r="M67" s="163" t="s">
        <v>361</v>
      </c>
    </row>
    <row r="68" spans="1:13" s="93" customFormat="1" ht="10.15" customHeight="1">
      <c r="A68" s="94" t="s">
        <v>371</v>
      </c>
      <c r="B68" s="171" t="s">
        <v>372</v>
      </c>
      <c r="C68" s="155"/>
      <c r="D68" s="156"/>
      <c r="E68" s="100">
        <f t="shared" si="3"/>
        <v>0</v>
      </c>
      <c r="F68" s="166"/>
      <c r="G68" s="166"/>
      <c r="H68" s="167"/>
      <c r="I68" s="168"/>
      <c r="J68" s="100">
        <f t="shared" si="4"/>
        <v>0</v>
      </c>
      <c r="K68" s="169"/>
      <c r="L68" s="166"/>
      <c r="M68" s="163" t="s">
        <v>361</v>
      </c>
    </row>
    <row r="69" spans="1:13" s="93" customFormat="1" ht="10.15" customHeight="1">
      <c r="A69" s="94" t="s">
        <v>373</v>
      </c>
      <c r="B69" s="171" t="s">
        <v>374</v>
      </c>
      <c r="C69" s="155"/>
      <c r="D69" s="156"/>
      <c r="E69" s="100">
        <f t="shared" si="3"/>
        <v>0</v>
      </c>
      <c r="F69" s="166"/>
      <c r="G69" s="166"/>
      <c r="H69" s="167"/>
      <c r="I69" s="168"/>
      <c r="J69" s="100">
        <f t="shared" si="4"/>
        <v>0</v>
      </c>
      <c r="K69" s="169"/>
      <c r="L69" s="166"/>
      <c r="M69" s="163" t="s">
        <v>361</v>
      </c>
    </row>
    <row r="70" spans="1:13" s="93" customFormat="1" ht="10.15" customHeight="1">
      <c r="A70" s="94" t="s">
        <v>375</v>
      </c>
      <c r="B70" s="171" t="s">
        <v>376</v>
      </c>
      <c r="C70" s="155"/>
      <c r="D70" s="156"/>
      <c r="E70" s="100">
        <f t="shared" si="3"/>
        <v>0</v>
      </c>
      <c r="F70" s="166"/>
      <c r="G70" s="166"/>
      <c r="H70" s="167"/>
      <c r="I70" s="168"/>
      <c r="J70" s="100">
        <f t="shared" si="4"/>
        <v>0</v>
      </c>
      <c r="K70" s="169"/>
      <c r="L70" s="166"/>
      <c r="M70" s="163" t="s">
        <v>361</v>
      </c>
    </row>
    <row r="71" spans="1:13" s="93" customFormat="1" ht="10.15" customHeight="1">
      <c r="A71" s="94" t="s">
        <v>377</v>
      </c>
      <c r="B71" s="171" t="s">
        <v>378</v>
      </c>
      <c r="C71" s="155"/>
      <c r="D71" s="156"/>
      <c r="E71" s="100">
        <f t="shared" ref="E71:E79" si="5">+D71+C71</f>
        <v>0</v>
      </c>
      <c r="F71" s="166"/>
      <c r="G71" s="166"/>
      <c r="H71" s="167"/>
      <c r="I71" s="168"/>
      <c r="J71" s="100">
        <f t="shared" ref="J71:J79" si="6">H71-I71</f>
        <v>0</v>
      </c>
      <c r="K71" s="169"/>
      <c r="L71" s="166"/>
      <c r="M71" s="163" t="s">
        <v>361</v>
      </c>
    </row>
    <row r="72" spans="1:13" s="93" customFormat="1" ht="10.15" customHeight="1">
      <c r="A72" s="94" t="s">
        <v>379</v>
      </c>
      <c r="B72" s="171" t="s">
        <v>380</v>
      </c>
      <c r="C72" s="155">
        <v>3</v>
      </c>
      <c r="D72" s="156"/>
      <c r="E72" s="100">
        <f t="shared" si="5"/>
        <v>3</v>
      </c>
      <c r="F72" s="166">
        <f>40*E72</f>
        <v>120</v>
      </c>
      <c r="G72" s="166"/>
      <c r="H72" s="167">
        <v>0</v>
      </c>
      <c r="I72" s="168">
        <v>0</v>
      </c>
      <c r="J72" s="100">
        <f t="shared" si="6"/>
        <v>0</v>
      </c>
      <c r="K72" s="169"/>
      <c r="L72" s="166"/>
      <c r="M72" s="163" t="s">
        <v>361</v>
      </c>
    </row>
    <row r="73" spans="1:13" s="93" customFormat="1" ht="10.15" customHeight="1">
      <c r="A73" s="94" t="s">
        <v>381</v>
      </c>
      <c r="B73" s="171" t="s">
        <v>380</v>
      </c>
      <c r="C73" s="155"/>
      <c r="D73" s="156"/>
      <c r="E73" s="100">
        <f t="shared" si="5"/>
        <v>0</v>
      </c>
      <c r="F73" s="166"/>
      <c r="G73" s="166"/>
      <c r="H73" s="167"/>
      <c r="I73" s="168"/>
      <c r="J73" s="100">
        <f t="shared" si="6"/>
        <v>0</v>
      </c>
      <c r="K73" s="169"/>
      <c r="L73" s="166"/>
      <c r="M73" s="163" t="s">
        <v>361</v>
      </c>
    </row>
    <row r="74" spans="1:13" s="93" customFormat="1" ht="10.15" customHeight="1">
      <c r="A74" s="94" t="s">
        <v>382</v>
      </c>
      <c r="B74" s="171" t="s">
        <v>334</v>
      </c>
      <c r="C74" s="155"/>
      <c r="D74" s="156"/>
      <c r="E74" s="100">
        <f t="shared" si="5"/>
        <v>0</v>
      </c>
      <c r="F74" s="166"/>
      <c r="G74" s="166"/>
      <c r="H74" s="167"/>
      <c r="I74" s="168"/>
      <c r="J74" s="100">
        <f t="shared" si="6"/>
        <v>0</v>
      </c>
      <c r="K74" s="169"/>
      <c r="L74" s="166"/>
      <c r="M74" s="163" t="s">
        <v>361</v>
      </c>
    </row>
    <row r="75" spans="1:13" s="93" customFormat="1" ht="10.15" customHeight="1">
      <c r="A75" s="94" t="s">
        <v>383</v>
      </c>
      <c r="B75" s="171" t="s">
        <v>384</v>
      </c>
      <c r="C75" s="155">
        <v>1</v>
      </c>
      <c r="D75" s="156"/>
      <c r="E75" s="100">
        <f t="shared" si="5"/>
        <v>1</v>
      </c>
      <c r="F75" s="166">
        <v>100</v>
      </c>
      <c r="G75" s="166"/>
      <c r="H75" s="167">
        <v>2</v>
      </c>
      <c r="I75" s="168">
        <v>0</v>
      </c>
      <c r="J75" s="100">
        <f t="shared" si="6"/>
        <v>2</v>
      </c>
      <c r="K75" s="169"/>
      <c r="L75" s="166"/>
      <c r="M75" s="163" t="s">
        <v>316</v>
      </c>
    </row>
    <row r="76" spans="1:13" s="93" customFormat="1" ht="10.15" customHeight="1">
      <c r="A76" s="94" t="s">
        <v>385</v>
      </c>
      <c r="B76" s="171" t="s">
        <v>386</v>
      </c>
      <c r="C76" s="155">
        <v>4</v>
      </c>
      <c r="D76" s="156">
        <v>1</v>
      </c>
      <c r="E76" s="100">
        <f t="shared" si="5"/>
        <v>5</v>
      </c>
      <c r="F76" s="166">
        <f>100*E76</f>
        <v>500</v>
      </c>
      <c r="G76" s="166"/>
      <c r="H76" s="167"/>
      <c r="I76" s="168">
        <v>0</v>
      </c>
      <c r="J76" s="100">
        <f t="shared" si="6"/>
        <v>0</v>
      </c>
      <c r="K76" s="169"/>
      <c r="L76" s="166"/>
      <c r="M76" s="163" t="s">
        <v>316</v>
      </c>
    </row>
    <row r="77" spans="1:13" s="93" customFormat="1" ht="10.15" customHeight="1">
      <c r="A77" s="94" t="s">
        <v>387</v>
      </c>
      <c r="B77" s="171" t="s">
        <v>388</v>
      </c>
      <c r="C77" s="155">
        <v>2</v>
      </c>
      <c r="D77" s="156"/>
      <c r="E77" s="100">
        <f t="shared" si="5"/>
        <v>2</v>
      </c>
      <c r="F77" s="166">
        <f>100*E77</f>
        <v>200</v>
      </c>
      <c r="G77" s="166"/>
      <c r="H77" s="167"/>
      <c r="I77" s="168">
        <v>0</v>
      </c>
      <c r="J77" s="100">
        <f t="shared" si="6"/>
        <v>0</v>
      </c>
      <c r="K77" s="169"/>
      <c r="L77" s="166"/>
      <c r="M77" s="163" t="s">
        <v>316</v>
      </c>
    </row>
    <row r="78" spans="1:13" s="93" customFormat="1" ht="10.15" customHeight="1">
      <c r="A78" s="94" t="s">
        <v>389</v>
      </c>
      <c r="B78" s="171" t="s">
        <v>390</v>
      </c>
      <c r="C78" s="155"/>
      <c r="D78" s="156"/>
      <c r="E78" s="100">
        <f t="shared" si="5"/>
        <v>0</v>
      </c>
      <c r="F78" s="166"/>
      <c r="G78" s="166"/>
      <c r="H78" s="167"/>
      <c r="I78" s="168"/>
      <c r="J78" s="100">
        <f t="shared" si="6"/>
        <v>0</v>
      </c>
      <c r="K78" s="169"/>
      <c r="L78" s="166"/>
      <c r="M78" s="163" t="s">
        <v>316</v>
      </c>
    </row>
    <row r="79" spans="1:13" s="93" customFormat="1" ht="10.15" customHeight="1">
      <c r="A79" s="105" t="s">
        <v>391</v>
      </c>
      <c r="B79" s="172" t="s">
        <v>392</v>
      </c>
      <c r="C79" s="173"/>
      <c r="D79" s="174"/>
      <c r="E79" s="112">
        <f t="shared" si="5"/>
        <v>0</v>
      </c>
      <c r="F79" s="175"/>
      <c r="G79" s="175"/>
      <c r="H79" s="173"/>
      <c r="I79" s="174"/>
      <c r="J79" s="112">
        <f t="shared" si="6"/>
        <v>0</v>
      </c>
      <c r="K79" s="176"/>
      <c r="L79" s="175"/>
      <c r="M79" s="163" t="s">
        <v>316</v>
      </c>
    </row>
    <row r="80" spans="1:13">
      <c r="C80" s="178"/>
      <c r="D80" s="178"/>
      <c r="E80" s="178"/>
      <c r="F80" s="178"/>
      <c r="G80" s="178"/>
      <c r="H80" s="179"/>
      <c r="I80" s="178"/>
      <c r="J80" s="178"/>
      <c r="K80" s="178"/>
      <c r="L80" s="178"/>
    </row>
  </sheetData>
  <mergeCells count="3">
    <mergeCell ref="A4:B4"/>
    <mergeCell ref="A5:B5"/>
    <mergeCell ref="A6:B6"/>
  </mergeCells>
  <conditionalFormatting sqref="H7:J20 H23:J79 I21:J22">
    <cfRule type="cellIs" dxfId="43" priority="4" operator="lessThan">
      <formula>0</formula>
    </cfRule>
  </conditionalFormatting>
  <conditionalFormatting sqref="I7:J79">
    <cfRule type="cellIs" dxfId="42" priority="5" operator="greaterThan">
      <formula>"$M$7"</formula>
    </cfRule>
  </conditionalFormatting>
  <conditionalFormatting sqref="G21:H22">
    <cfRule type="cellIs" dxfId="41" priority="1" operator="lessThan">
      <formula>0</formula>
    </cfRule>
  </conditionalFormatting>
  <conditionalFormatting sqref="H21:H22">
    <cfRule type="cellIs" dxfId="40" priority="2" operator="greaterThan">
      <formula>$G$6</formula>
    </cfRule>
  </conditionalFormatting>
  <pageMargins left="0.23611111111111099" right="0.23611111111111099" top="0.74791666666666701" bottom="0.74791666666666701" header="0.51180555555555496" footer="0.31527777777777799"/>
  <pageSetup paperSize="8" scale="53" firstPageNumber="0" orientation="landscape" r:id="rId1"/>
  <headerFooter>
    <oddFooter>&amp;R&amp;"Arial,Normale"&amp;10&amp;A</oddFooter>
  </headerFooter>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MJ23"/>
  <sheetViews>
    <sheetView showGridLines="0" zoomScale="110" zoomScaleNormal="110" workbookViewId="0">
      <selection activeCell="F7" sqref="F7"/>
    </sheetView>
  </sheetViews>
  <sheetFormatPr defaultColWidth="8.85546875" defaultRowHeight="15"/>
  <cols>
    <col min="1" max="1" width="8.85546875" style="25"/>
    <col min="2" max="2" width="11.5703125" style="25" hidden="1" customWidth="1"/>
    <col min="3" max="3" width="34.7109375" style="25" customWidth="1"/>
    <col min="4" max="6" width="13.7109375" style="25" customWidth="1"/>
    <col min="7" max="21" width="11.7109375" style="25" customWidth="1"/>
    <col min="22" max="1024" width="8.85546875" style="25"/>
  </cols>
  <sheetData>
    <row r="3" spans="1:6">
      <c r="C3" s="16" t="s">
        <v>452</v>
      </c>
    </row>
    <row r="4" spans="1:6">
      <c r="C4" s="16"/>
    </row>
    <row r="5" spans="1:6" s="93" customFormat="1" ht="15" customHeight="1">
      <c r="D5" s="373" t="s">
        <v>393</v>
      </c>
      <c r="E5" s="373"/>
      <c r="F5" s="373"/>
    </row>
    <row r="6" spans="1:6" ht="33" customHeight="1">
      <c r="C6" s="374" t="s">
        <v>394</v>
      </c>
      <c r="D6" s="375" t="s">
        <v>395</v>
      </c>
      <c r="E6" s="375"/>
      <c r="F6" s="375"/>
    </row>
    <row r="7" spans="1:6" ht="45">
      <c r="A7" s="180"/>
      <c r="C7" s="374"/>
      <c r="D7" s="181" t="s">
        <v>438</v>
      </c>
      <c r="E7" s="182" t="s">
        <v>439</v>
      </c>
      <c r="F7" s="183" t="s">
        <v>396</v>
      </c>
    </row>
    <row r="8" spans="1:6" ht="13.9" customHeight="1">
      <c r="C8" s="184" t="s">
        <v>397</v>
      </c>
      <c r="D8" s="185"/>
      <c r="E8" s="185"/>
      <c r="F8" s="186"/>
    </row>
    <row r="9" spans="1:6" ht="13.9" customHeight="1">
      <c r="C9" s="187" t="s">
        <v>398</v>
      </c>
      <c r="D9" s="188">
        <f>+Medici_2024!H9</f>
        <v>99</v>
      </c>
      <c r="E9" s="189">
        <f>+Medici_2024!E9</f>
        <v>670</v>
      </c>
      <c r="F9" s="190">
        <f>+Medici_2024!F9</f>
        <v>67670</v>
      </c>
    </row>
    <row r="10" spans="1:6" ht="13.9" customHeight="1">
      <c r="B10" s="191"/>
      <c r="C10" s="192" t="s">
        <v>399</v>
      </c>
      <c r="D10" s="193">
        <f>+'Altri profili_2024_'!H51</f>
        <v>0</v>
      </c>
      <c r="E10" s="194">
        <f>+'Altri profili_2024_'!E51</f>
        <v>0</v>
      </c>
      <c r="F10" s="195">
        <f>+'Altri profili_2024_'!F51</f>
        <v>0</v>
      </c>
    </row>
    <row r="11" spans="1:6" ht="13.9" customHeight="1">
      <c r="B11" s="196" t="s">
        <v>340</v>
      </c>
      <c r="C11" s="197" t="s">
        <v>400</v>
      </c>
      <c r="D11" s="193">
        <f>+SUMIF('Altri profili_2024_'!$M$7:$M$79,$B11,'Altri profili_2024_'!$H$7:$H$79)</f>
        <v>9</v>
      </c>
      <c r="E11" s="194">
        <f>+SUMIF('Altri profili_2024_'!$M$7:$M$79,$B11,'Altri profili_2024_'!$E$7:$E$79)</f>
        <v>54</v>
      </c>
      <c r="F11" s="195">
        <f>+SUMIF('Altri profili_2024_'!$M$7:$M$79,$B11,'Altri profili_2024_'!$F$7:$F$79)</f>
        <v>4690</v>
      </c>
    </row>
    <row r="12" spans="1:6" ht="13.9" customHeight="1">
      <c r="B12" s="196" t="s">
        <v>316</v>
      </c>
      <c r="C12" s="198" t="s">
        <v>401</v>
      </c>
      <c r="D12" s="199">
        <f>+SUMIF('Altri profili_2024_'!$M$7:$M$79,$B12,'Altri profili_2024_'!$H$7:$H$79)</f>
        <v>11</v>
      </c>
      <c r="E12" s="200">
        <f>+SUMIF('Altri profili_2024_'!$M$7:$M$79,$B12,'Altri profili_2024_'!$E$7:$E$79)</f>
        <v>16</v>
      </c>
      <c r="F12" s="201">
        <f>+SUMIF('Altri profili_2024_'!$M$7:$M$79,$B12,'Altri profili_2024_'!$F$7:$F$79)</f>
        <v>1600</v>
      </c>
    </row>
    <row r="13" spans="1:6" ht="13.9" customHeight="1">
      <c r="B13" s="196"/>
      <c r="C13" s="202" t="s">
        <v>402</v>
      </c>
      <c r="D13" s="203">
        <f>+SUM(D9:D12)</f>
        <v>119</v>
      </c>
      <c r="E13" s="204">
        <f>+SUM(E9:E12)</f>
        <v>740</v>
      </c>
      <c r="F13" s="205">
        <f>+SUM(F9:F12)</f>
        <v>73960</v>
      </c>
    </row>
    <row r="14" spans="1:6" ht="13.9" customHeight="1">
      <c r="B14" s="196"/>
      <c r="C14" s="206" t="s">
        <v>403</v>
      </c>
      <c r="D14" s="207"/>
      <c r="E14" s="208"/>
      <c r="F14" s="209"/>
    </row>
    <row r="15" spans="1:6" ht="13.9" customHeight="1">
      <c r="B15" s="196" t="s">
        <v>243</v>
      </c>
      <c r="C15" s="187" t="s">
        <v>404</v>
      </c>
      <c r="D15" s="188">
        <f>+SUMIF('Altri profili_2024_'!$M$7:$M$79,$B15,'Altri profili_2024_'!$H$7:$H$79)</f>
        <v>200</v>
      </c>
      <c r="E15" s="189">
        <f>+SUMIF('Altri profili_2024_'!$M$7:$M$79,$B15,'Altri profili_2024_'!$E$7:$E$79)</f>
        <v>1145</v>
      </c>
      <c r="F15" s="190">
        <f>+SUMIF('Altri profili_2024_'!$M$7:$M$79,$B15,'Altri profili_2024_'!$F$7:$F$79)</f>
        <v>51525</v>
      </c>
    </row>
    <row r="16" spans="1:6" ht="13.9" customHeight="1">
      <c r="B16" s="196" t="s">
        <v>259</v>
      </c>
      <c r="C16" s="197" t="s">
        <v>405</v>
      </c>
      <c r="D16" s="193">
        <f>+SUMIF('Altri profili_2024_'!$M$7:$M$79,$B16,'Altri profili_2024_'!$H$7:$H$79)</f>
        <v>2</v>
      </c>
      <c r="E16" s="194">
        <f>+SUMIF('Altri profili_2024_'!$M$7:$M$79,$B16,'Altri profili_2024_'!$E$7:$E$79)</f>
        <v>229</v>
      </c>
      <c r="F16" s="195">
        <f>+SUMIF('Altri profili_2024_'!$M$7:$M$79,$B16,'Altri profili_2024_'!$F$7:$F$79)</f>
        <v>9596</v>
      </c>
    </row>
    <row r="17" spans="2:6" ht="13.9" customHeight="1">
      <c r="B17" s="196" t="s">
        <v>252</v>
      </c>
      <c r="C17" s="197" t="s">
        <v>406</v>
      </c>
      <c r="D17" s="193">
        <f>+SUMIF('Altri profili_2024_'!$M$7:$M$79,$B17,'Altri profili_2024_'!$H$7:$H$79)</f>
        <v>0</v>
      </c>
      <c r="E17" s="194">
        <f>+SUMIF('Altri profili_2024_'!$M$7:$M$79,$B17,'Altri profili_2024_'!$E$7:$E$79)</f>
        <v>285</v>
      </c>
      <c r="F17" s="195">
        <f>+SUMIF('Altri profili_2024_'!$M$7:$M$79,$B17,'Altri profili_2024_'!$F$7:$F$79)</f>
        <v>10200</v>
      </c>
    </row>
    <row r="18" spans="2:6" ht="13.9" customHeight="1">
      <c r="B18" s="196" t="s">
        <v>262</v>
      </c>
      <c r="C18" s="197" t="s">
        <v>407</v>
      </c>
      <c r="D18" s="193">
        <f>+SUMIF('Altri profili_2024_'!$M$7:$M$79,$B18,'Altri profili_2024_'!$H$7:$H$79)</f>
        <v>7</v>
      </c>
      <c r="E18" s="194">
        <f>+SUMIF('Altri profili_2024_'!$M$7:$M$79,$B18,'Altri profili_2024_'!$E$7:$E$79)</f>
        <v>30</v>
      </c>
      <c r="F18" s="195">
        <f>+SUMIF('Altri profili_2024_'!$M$7:$M$79,$B18,'Altri profili_2024_'!$F$7:$F$79)</f>
        <v>1282</v>
      </c>
    </row>
    <row r="19" spans="2:6" ht="13.9" customHeight="1">
      <c r="B19" s="196" t="s">
        <v>361</v>
      </c>
      <c r="C19" s="197" t="s">
        <v>408</v>
      </c>
      <c r="D19" s="193">
        <f>+SUMIF('Altri profili_2024_'!$M$7:$M$79,$B19,'Altri profili_2024_'!$H$7:$H$79)</f>
        <v>36</v>
      </c>
      <c r="E19" s="194">
        <f>+SUMIF('Altri profili_2024_'!$M$7:$M$79,$B19,'Altri profili_2024_'!$E$7:$E$79)</f>
        <v>155</v>
      </c>
      <c r="F19" s="195">
        <f>+SUMIF('Altri profili_2024_'!$M$7:$M$79,$B19,'Altri profili_2024_'!$F$7:$F$79)</f>
        <v>5485</v>
      </c>
    </row>
    <row r="20" spans="2:6" ht="13.9" customHeight="1">
      <c r="B20" s="196" t="s">
        <v>313</v>
      </c>
      <c r="C20" s="210" t="s">
        <v>409</v>
      </c>
      <c r="D20" s="211">
        <f>+SUMIF('Altri profili_2024_'!$M$7:$M$79,$B20,'Altri profili_2024_'!$H$7:$H$79)</f>
        <v>22</v>
      </c>
      <c r="E20" s="212">
        <f>+SUMIF('Altri profili_2024_'!$M$7:$M$79,$B20,'Altri profili_2024_'!$E$7:$E$79)</f>
        <v>96</v>
      </c>
      <c r="F20" s="213">
        <f>+SUMIF('Altri profili_2024_'!$M$7:$M$79,$B20,'Altri profili_2024_'!$F$7:$F$79)</f>
        <v>3457</v>
      </c>
    </row>
    <row r="21" spans="2:6" ht="13.9" customHeight="1">
      <c r="C21" s="214" t="s">
        <v>410</v>
      </c>
      <c r="D21" s="215">
        <f>+SUM(D15:D20)</f>
        <v>267</v>
      </c>
      <c r="E21" s="216">
        <f>+SUM(E15:E20)</f>
        <v>1940</v>
      </c>
      <c r="F21" s="217">
        <f>+SUM(F15:F20)</f>
        <v>81545</v>
      </c>
    </row>
    <row r="22" spans="2:6" ht="13.9" customHeight="1">
      <c r="C22" s="218" t="s">
        <v>411</v>
      </c>
      <c r="D22" s="219">
        <f>+SUM(D21+D13)</f>
        <v>386</v>
      </c>
      <c r="E22" s="220">
        <f>+SUM(E21+E13)</f>
        <v>2680</v>
      </c>
      <c r="F22" s="221">
        <f>+SUM(F21+F13)</f>
        <v>155505</v>
      </c>
    </row>
    <row r="23" spans="2:6">
      <c r="C23" s="137"/>
      <c r="D23" s="93"/>
      <c r="E23" s="93"/>
      <c r="F23" s="93"/>
    </row>
  </sheetData>
  <mergeCells count="3">
    <mergeCell ref="D5:F5"/>
    <mergeCell ref="C6:C7"/>
    <mergeCell ref="D6:F6"/>
  </mergeCells>
  <pageMargins left="0.7" right="0.7" top="0.75" bottom="0.75" header="0.51180555555555496" footer="0.51180555555555496"/>
  <pageSetup paperSize="9" scale="47" firstPageNumber="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G97"/>
  <sheetViews>
    <sheetView showGridLines="0" zoomScale="110" zoomScaleNormal="110" zoomScalePageLayoutView="85" workbookViewId="0">
      <pane xSplit="2" ySplit="9" topLeftCell="C69" activePane="bottomRight" state="frozen"/>
      <selection pane="topRight" activeCell="C1" sqref="C1"/>
      <selection pane="bottomLeft" activeCell="A80" sqref="A80"/>
      <selection pane="bottomRight" activeCell="F63" sqref="F63"/>
    </sheetView>
  </sheetViews>
  <sheetFormatPr defaultColWidth="9.140625" defaultRowHeight="15"/>
  <cols>
    <col min="1" max="1" width="10.28515625" style="25" customWidth="1"/>
    <col min="2" max="2" width="49.5703125" style="25" customWidth="1"/>
    <col min="3" max="6" width="12.42578125" style="25" customWidth="1"/>
    <col min="7" max="7" width="12.42578125" style="26" customWidth="1"/>
    <col min="8" max="9" width="18" style="25" customWidth="1"/>
    <col min="10" max="10" width="0.7109375" style="25" customWidth="1"/>
    <col min="11" max="11" width="37.7109375" style="25" customWidth="1"/>
    <col min="12" max="1021" width="9.140625" style="25"/>
  </cols>
  <sheetData>
    <row r="1" spans="1:11">
      <c r="A1" s="28" t="s">
        <v>50</v>
      </c>
      <c r="B1" s="29" t="str">
        <f>+Copertina!F20</f>
        <v xml:space="preserve">AO Civico </v>
      </c>
      <c r="C1" s="26"/>
      <c r="D1" s="26"/>
      <c r="E1" s="26"/>
      <c r="F1" s="26"/>
      <c r="G1" s="30"/>
    </row>
    <row r="2" spans="1:11" ht="15" customHeight="1">
      <c r="A2" s="31" t="str">
        <f>"Piano del Fabbisogno 2025 "&amp;B1</f>
        <v xml:space="preserve">Piano del Fabbisogno 2025 AO Civico </v>
      </c>
      <c r="B2" s="32"/>
      <c r="C2" s="33"/>
      <c r="D2" s="33"/>
      <c r="E2" s="33"/>
      <c r="F2" s="33"/>
      <c r="G2" s="33"/>
      <c r="H2" s="32"/>
      <c r="I2" s="32"/>
      <c r="J2" s="33"/>
      <c r="K2" s="34"/>
    </row>
    <row r="3" spans="1:11" ht="16.5" customHeight="1">
      <c r="A3" s="222" t="s">
        <v>51</v>
      </c>
      <c r="B3" s="39"/>
      <c r="C3" s="39"/>
      <c r="D3" s="39"/>
      <c r="E3" s="39"/>
      <c r="F3" s="39"/>
      <c r="G3" s="39"/>
      <c r="H3" s="39"/>
      <c r="I3" s="39"/>
      <c r="J3" s="223"/>
      <c r="K3" s="224"/>
    </row>
    <row r="4" spans="1:11" ht="87.75" customHeight="1">
      <c r="A4" s="377" t="s">
        <v>52</v>
      </c>
      <c r="B4" s="377"/>
      <c r="C4" s="225" t="s">
        <v>439</v>
      </c>
      <c r="D4" s="41" t="s">
        <v>435</v>
      </c>
      <c r="E4" s="41" t="s">
        <v>436</v>
      </c>
      <c r="F4" s="42" t="s">
        <v>53</v>
      </c>
      <c r="G4" s="226" t="s">
        <v>55</v>
      </c>
      <c r="H4" s="45" t="s">
        <v>56</v>
      </c>
      <c r="I4" s="46" t="s">
        <v>57</v>
      </c>
      <c r="J4" s="47"/>
      <c r="K4" s="48" t="s">
        <v>61</v>
      </c>
    </row>
    <row r="5" spans="1:11" ht="22.5" customHeight="1">
      <c r="A5" s="377"/>
      <c r="B5" s="377"/>
      <c r="C5" s="40" t="s">
        <v>62</v>
      </c>
      <c r="D5" s="50" t="s">
        <v>63</v>
      </c>
      <c r="E5" s="50" t="s">
        <v>64</v>
      </c>
      <c r="F5" s="42" t="s">
        <v>65</v>
      </c>
      <c r="G5" s="51" t="s">
        <v>67</v>
      </c>
      <c r="H5" s="52" t="s">
        <v>68</v>
      </c>
      <c r="I5" s="53" t="s">
        <v>69</v>
      </c>
      <c r="J5" s="54"/>
      <c r="K5" s="55"/>
    </row>
    <row r="6" spans="1:11" s="61" customFormat="1" ht="3" customHeight="1">
      <c r="A6" s="56"/>
      <c r="B6" s="56"/>
      <c r="C6" s="57"/>
      <c r="D6" s="58"/>
      <c r="E6" s="58"/>
      <c r="F6" s="58"/>
      <c r="G6" s="59"/>
      <c r="H6" s="58"/>
      <c r="I6" s="49"/>
      <c r="J6" s="54"/>
      <c r="K6" s="55"/>
    </row>
    <row r="7" spans="1:11" ht="15" customHeight="1">
      <c r="A7" s="372" t="s">
        <v>73</v>
      </c>
      <c r="B7" s="372"/>
      <c r="C7" s="62">
        <f>+C9+'Altri profili_2025_'!C6</f>
        <v>2680</v>
      </c>
      <c r="D7" s="63">
        <f>+D9+'Altri profili_2025_'!D6</f>
        <v>215</v>
      </c>
      <c r="E7" s="63">
        <f>+E9+'Altri profili_2025_'!E6</f>
        <v>2895</v>
      </c>
      <c r="F7" s="150">
        <f>+F9+'Altri profili_2025_'!F6</f>
        <v>166956</v>
      </c>
      <c r="G7" s="62">
        <f>+G9+'Altri profili_2025_'!G6</f>
        <v>179</v>
      </c>
      <c r="H7" s="63">
        <f>+H9+'Altri profili_2025_'!H6</f>
        <v>28</v>
      </c>
      <c r="I7" s="64">
        <f>+I9+'Altri profili_2025_'!I6</f>
        <v>151</v>
      </c>
      <c r="J7" s="58"/>
      <c r="K7" s="227"/>
    </row>
    <row r="8" spans="1:11" s="61" customFormat="1" ht="3" customHeight="1">
      <c r="A8" s="56"/>
      <c r="B8" s="56"/>
      <c r="C8" s="228"/>
      <c r="D8" s="58"/>
      <c r="E8" s="58"/>
      <c r="F8" s="58"/>
      <c r="G8" s="69"/>
      <c r="H8" s="58"/>
      <c r="I8" s="49"/>
      <c r="J8" s="58"/>
      <c r="K8" s="229"/>
    </row>
    <row r="9" spans="1:11" ht="15" customHeight="1">
      <c r="A9" s="378" t="s">
        <v>74</v>
      </c>
      <c r="B9" s="378"/>
      <c r="C9" s="62">
        <f t="shared" ref="C9:I9" si="0">+SUM(C10:C79)</f>
        <v>670</v>
      </c>
      <c r="D9" s="63">
        <f t="shared" si="0"/>
        <v>29</v>
      </c>
      <c r="E9" s="63">
        <f t="shared" si="0"/>
        <v>699</v>
      </c>
      <c r="F9" s="150">
        <f t="shared" si="0"/>
        <v>70397</v>
      </c>
      <c r="G9" s="76">
        <f t="shared" si="0"/>
        <v>78</v>
      </c>
      <c r="H9" s="63">
        <f t="shared" si="0"/>
        <v>0</v>
      </c>
      <c r="I9" s="64">
        <f t="shared" si="0"/>
        <v>78</v>
      </c>
      <c r="J9" s="77"/>
      <c r="K9" s="227"/>
    </row>
    <row r="10" spans="1:11" s="93" customFormat="1" ht="11.25">
      <c r="A10" s="80" t="s">
        <v>75</v>
      </c>
      <c r="B10" s="81" t="s">
        <v>76</v>
      </c>
      <c r="C10" s="230">
        <f>+Medici_2024!E10</f>
        <v>2</v>
      </c>
      <c r="D10" s="83"/>
      <c r="E10" s="231">
        <f t="shared" ref="E10:E41" si="1">+D10+C10</f>
        <v>2</v>
      </c>
      <c r="F10" s="232"/>
      <c r="G10" s="86">
        <v>1</v>
      </c>
      <c r="H10" s="83"/>
      <c r="I10" s="87">
        <f t="shared" ref="I10:I41" si="2">+G10-H10</f>
        <v>1</v>
      </c>
      <c r="J10" s="88"/>
      <c r="K10" s="85"/>
    </row>
    <row r="11" spans="1:11" s="93" customFormat="1" ht="11.25">
      <c r="A11" s="94" t="s">
        <v>77</v>
      </c>
      <c r="B11" s="95" t="s">
        <v>78</v>
      </c>
      <c r="C11" s="233">
        <f>+Medici_2024!E11</f>
        <v>0</v>
      </c>
      <c r="D11" s="97"/>
      <c r="E11" s="234">
        <f t="shared" si="1"/>
        <v>0</v>
      </c>
      <c r="F11" s="235"/>
      <c r="G11" s="99"/>
      <c r="H11" s="97"/>
      <c r="I11" s="100">
        <f t="shared" si="2"/>
        <v>0</v>
      </c>
      <c r="J11" s="88"/>
      <c r="K11" s="98"/>
    </row>
    <row r="12" spans="1:11" s="93" customFormat="1" ht="11.25">
      <c r="A12" s="94" t="s">
        <v>79</v>
      </c>
      <c r="B12" s="95" t="s">
        <v>80</v>
      </c>
      <c r="C12" s="233">
        <f>+Medici_2024!E12</f>
        <v>38</v>
      </c>
      <c r="D12" s="97">
        <v>5</v>
      </c>
      <c r="E12" s="234">
        <f t="shared" si="1"/>
        <v>43</v>
      </c>
      <c r="F12" s="235">
        <f>101*E12</f>
        <v>4343</v>
      </c>
      <c r="G12" s="99">
        <f>43-E12</f>
        <v>0</v>
      </c>
      <c r="H12" s="97"/>
      <c r="I12" s="100">
        <f t="shared" si="2"/>
        <v>0</v>
      </c>
      <c r="J12" s="88"/>
      <c r="K12" s="98"/>
    </row>
    <row r="13" spans="1:11" s="93" customFormat="1" ht="11.25">
      <c r="A13" s="94" t="s">
        <v>81</v>
      </c>
      <c r="B13" s="95" t="s">
        <v>82</v>
      </c>
      <c r="C13" s="233">
        <f>+Medici_2024!E13</f>
        <v>2</v>
      </c>
      <c r="D13" s="97"/>
      <c r="E13" s="234">
        <f t="shared" si="1"/>
        <v>2</v>
      </c>
      <c r="F13" s="235">
        <f>101*E13</f>
        <v>202</v>
      </c>
      <c r="G13" s="99">
        <f>3-E13</f>
        <v>1</v>
      </c>
      <c r="H13" s="97">
        <v>0</v>
      </c>
      <c r="I13" s="100">
        <f t="shared" si="2"/>
        <v>1</v>
      </c>
      <c r="J13" s="104"/>
      <c r="K13" s="98"/>
    </row>
    <row r="14" spans="1:11" s="93" customFormat="1" ht="11.25">
      <c r="A14" s="94" t="s">
        <v>83</v>
      </c>
      <c r="B14" s="95" t="s">
        <v>84</v>
      </c>
      <c r="C14" s="233">
        <f>+Medici_2024!E14</f>
        <v>19</v>
      </c>
      <c r="D14" s="97"/>
      <c r="E14" s="234">
        <f t="shared" si="1"/>
        <v>19</v>
      </c>
      <c r="F14" s="235">
        <f>101*17</f>
        <v>1717</v>
      </c>
      <c r="G14" s="99"/>
      <c r="H14" s="97">
        <v>0</v>
      </c>
      <c r="I14" s="100">
        <f t="shared" si="2"/>
        <v>0</v>
      </c>
      <c r="J14" s="104"/>
      <c r="K14" s="98"/>
    </row>
    <row r="15" spans="1:11" s="93" customFormat="1" ht="11.25">
      <c r="A15" s="94" t="s">
        <v>85</v>
      </c>
      <c r="B15" s="95" t="s">
        <v>86</v>
      </c>
      <c r="C15" s="233">
        <f>+Medici_2024!E15</f>
        <v>0</v>
      </c>
      <c r="D15" s="97"/>
      <c r="E15" s="234">
        <f t="shared" si="1"/>
        <v>0</v>
      </c>
      <c r="F15" s="235"/>
      <c r="G15" s="99"/>
      <c r="H15" s="97"/>
      <c r="I15" s="100">
        <f t="shared" si="2"/>
        <v>0</v>
      </c>
      <c r="J15" s="104"/>
      <c r="K15" s="98"/>
    </row>
    <row r="16" spans="1:11" s="93" customFormat="1" ht="11.25">
      <c r="A16" s="94" t="s">
        <v>87</v>
      </c>
      <c r="B16" s="95" t="s">
        <v>88</v>
      </c>
      <c r="C16" s="233">
        <f>+Medici_2024!E16</f>
        <v>10</v>
      </c>
      <c r="D16" s="97"/>
      <c r="E16" s="234">
        <f t="shared" si="1"/>
        <v>10</v>
      </c>
      <c r="F16" s="235">
        <f>101*E16</f>
        <v>1010</v>
      </c>
      <c r="G16" s="99"/>
      <c r="H16" s="97">
        <v>0</v>
      </c>
      <c r="I16" s="100">
        <f t="shared" si="2"/>
        <v>0</v>
      </c>
      <c r="J16" s="104"/>
      <c r="K16" s="98"/>
    </row>
    <row r="17" spans="1:11" s="93" customFormat="1" ht="11.25">
      <c r="A17" s="94" t="s">
        <v>89</v>
      </c>
      <c r="B17" s="95" t="s">
        <v>90</v>
      </c>
      <c r="C17" s="233">
        <f>+Medici_2024!E17</f>
        <v>0</v>
      </c>
      <c r="D17" s="97"/>
      <c r="E17" s="234">
        <f t="shared" si="1"/>
        <v>0</v>
      </c>
      <c r="F17" s="235"/>
      <c r="G17" s="99"/>
      <c r="H17" s="97"/>
      <c r="I17" s="100">
        <f t="shared" si="2"/>
        <v>0</v>
      </c>
      <c r="J17" s="104"/>
      <c r="K17" s="98"/>
    </row>
    <row r="18" spans="1:11" s="93" customFormat="1" ht="11.25">
      <c r="A18" s="94" t="s">
        <v>91</v>
      </c>
      <c r="B18" s="95" t="s">
        <v>92</v>
      </c>
      <c r="C18" s="233">
        <f>+Medici_2024!E18</f>
        <v>0</v>
      </c>
      <c r="D18" s="97"/>
      <c r="E18" s="234">
        <f t="shared" si="1"/>
        <v>0</v>
      </c>
      <c r="F18" s="235"/>
      <c r="G18" s="99"/>
      <c r="H18" s="97"/>
      <c r="I18" s="100">
        <f t="shared" si="2"/>
        <v>0</v>
      </c>
      <c r="J18" s="104"/>
      <c r="K18" s="98"/>
    </row>
    <row r="19" spans="1:11" s="93" customFormat="1" ht="11.25">
      <c r="A19" s="94" t="s">
        <v>93</v>
      </c>
      <c r="B19" s="95" t="s">
        <v>94</v>
      </c>
      <c r="C19" s="233">
        <f>+Medici_2024!E19</f>
        <v>0</v>
      </c>
      <c r="D19" s="97"/>
      <c r="E19" s="234">
        <f t="shared" si="1"/>
        <v>0</v>
      </c>
      <c r="F19" s="235"/>
      <c r="G19" s="99"/>
      <c r="H19" s="97"/>
      <c r="I19" s="100">
        <f t="shared" si="2"/>
        <v>0</v>
      </c>
      <c r="J19" s="104"/>
      <c r="K19" s="98"/>
    </row>
    <row r="20" spans="1:11" s="93" customFormat="1" ht="11.25">
      <c r="A20" s="94" t="s">
        <v>95</v>
      </c>
      <c r="B20" s="95" t="s">
        <v>96</v>
      </c>
      <c r="C20" s="233">
        <f>+Medici_2024!E20</f>
        <v>22</v>
      </c>
      <c r="D20" s="97">
        <v>2</v>
      </c>
      <c r="E20" s="234">
        <f t="shared" si="1"/>
        <v>24</v>
      </c>
      <c r="F20" s="235">
        <f>+E20*101</f>
        <v>2424</v>
      </c>
      <c r="G20" s="99">
        <v>0</v>
      </c>
      <c r="H20" s="97"/>
      <c r="I20" s="100">
        <f t="shared" si="2"/>
        <v>0</v>
      </c>
      <c r="J20" s="104"/>
      <c r="K20" s="98"/>
    </row>
    <row r="21" spans="1:11" s="93" customFormat="1" ht="11.25">
      <c r="A21" s="94" t="s">
        <v>97</v>
      </c>
      <c r="B21" s="95" t="s">
        <v>98</v>
      </c>
      <c r="C21" s="233">
        <f>+Medici_2024!E21</f>
        <v>22</v>
      </c>
      <c r="D21" s="97">
        <v>2</v>
      </c>
      <c r="E21" s="234">
        <f t="shared" si="1"/>
        <v>24</v>
      </c>
      <c r="F21" s="235">
        <f>101*E21</f>
        <v>2424</v>
      </c>
      <c r="G21" s="99"/>
      <c r="H21" s="97"/>
      <c r="I21" s="100">
        <f t="shared" si="2"/>
        <v>0</v>
      </c>
      <c r="J21" s="104"/>
      <c r="K21" s="98"/>
    </row>
    <row r="22" spans="1:11" s="93" customFormat="1" ht="11.25">
      <c r="A22" s="94" t="s">
        <v>99</v>
      </c>
      <c r="B22" s="95" t="s">
        <v>100</v>
      </c>
      <c r="C22" s="233">
        <f>+Medici_2024!E22</f>
        <v>36</v>
      </c>
      <c r="D22" s="97"/>
      <c r="E22" s="234">
        <f t="shared" si="1"/>
        <v>36</v>
      </c>
      <c r="F22" s="235">
        <f>101*E22</f>
        <v>3636</v>
      </c>
      <c r="G22" s="99"/>
      <c r="H22" s="97"/>
      <c r="I22" s="100">
        <f t="shared" si="2"/>
        <v>0</v>
      </c>
      <c r="J22" s="104"/>
      <c r="K22" s="98"/>
    </row>
    <row r="23" spans="1:11" s="93" customFormat="1" ht="11.25">
      <c r="A23" s="94" t="s">
        <v>101</v>
      </c>
      <c r="B23" s="95" t="s">
        <v>102</v>
      </c>
      <c r="C23" s="233">
        <f>+Medici_2024!E23</f>
        <v>0</v>
      </c>
      <c r="D23" s="97"/>
      <c r="E23" s="234">
        <f t="shared" si="1"/>
        <v>0</v>
      </c>
      <c r="F23" s="235">
        <v>101</v>
      </c>
      <c r="G23" s="99">
        <v>3</v>
      </c>
      <c r="H23" s="97"/>
      <c r="I23" s="100">
        <f t="shared" si="2"/>
        <v>3</v>
      </c>
      <c r="J23" s="104"/>
      <c r="K23" s="98"/>
    </row>
    <row r="24" spans="1:11" s="93" customFormat="1" ht="11.25">
      <c r="A24" s="94" t="s">
        <v>103</v>
      </c>
      <c r="B24" s="95" t="s">
        <v>104</v>
      </c>
      <c r="C24" s="233">
        <f>+Medici_2024!E24</f>
        <v>37</v>
      </c>
      <c r="D24" s="97">
        <v>3</v>
      </c>
      <c r="E24" s="234">
        <f t="shared" si="1"/>
        <v>40</v>
      </c>
      <c r="F24" s="235">
        <f>101*E24</f>
        <v>4040</v>
      </c>
      <c r="G24" s="99">
        <v>0</v>
      </c>
      <c r="H24" s="97">
        <v>0</v>
      </c>
      <c r="I24" s="100">
        <f t="shared" si="2"/>
        <v>0</v>
      </c>
      <c r="J24" s="104"/>
      <c r="K24" s="98"/>
    </row>
    <row r="25" spans="1:11" s="93" customFormat="1" ht="11.25">
      <c r="A25" s="94" t="s">
        <v>105</v>
      </c>
      <c r="B25" s="95" t="s">
        <v>106</v>
      </c>
      <c r="C25" s="233">
        <f>+Medici_2024!E25</f>
        <v>0</v>
      </c>
      <c r="D25" s="97"/>
      <c r="E25" s="234">
        <f t="shared" si="1"/>
        <v>0</v>
      </c>
      <c r="F25" s="235"/>
      <c r="G25" s="99"/>
      <c r="H25" s="97"/>
      <c r="I25" s="100">
        <f t="shared" si="2"/>
        <v>0</v>
      </c>
      <c r="J25" s="104"/>
      <c r="K25" s="98"/>
    </row>
    <row r="26" spans="1:11" s="93" customFormat="1" ht="11.25">
      <c r="A26" s="94" t="s">
        <v>107</v>
      </c>
      <c r="B26" s="95" t="s">
        <v>108</v>
      </c>
      <c r="C26" s="233">
        <f>+Medici_2024!E26</f>
        <v>21</v>
      </c>
      <c r="D26" s="97"/>
      <c r="E26" s="234">
        <f t="shared" si="1"/>
        <v>21</v>
      </c>
      <c r="F26" s="235">
        <f>101*E26</f>
        <v>2121</v>
      </c>
      <c r="G26" s="99">
        <v>0</v>
      </c>
      <c r="H26" s="97">
        <v>0</v>
      </c>
      <c r="I26" s="100">
        <f t="shared" si="2"/>
        <v>0</v>
      </c>
      <c r="J26" s="104"/>
      <c r="K26" s="98"/>
    </row>
    <row r="27" spans="1:11" s="93" customFormat="1" ht="11.25">
      <c r="A27" s="94" t="s">
        <v>109</v>
      </c>
      <c r="B27" s="95" t="s">
        <v>110</v>
      </c>
      <c r="C27" s="233">
        <f>+Medici_2024!E27</f>
        <v>13</v>
      </c>
      <c r="D27" s="97">
        <v>2</v>
      </c>
      <c r="E27" s="234">
        <f t="shared" si="1"/>
        <v>15</v>
      </c>
      <c r="F27" s="235">
        <f>101*E27</f>
        <v>1515</v>
      </c>
      <c r="G27" s="99">
        <v>0</v>
      </c>
      <c r="H27" s="97">
        <v>0</v>
      </c>
      <c r="I27" s="100">
        <f t="shared" si="2"/>
        <v>0</v>
      </c>
      <c r="J27" s="104"/>
      <c r="K27" s="98"/>
    </row>
    <row r="28" spans="1:11" s="93" customFormat="1" ht="11.25">
      <c r="A28" s="94" t="s">
        <v>111</v>
      </c>
      <c r="B28" s="95" t="s">
        <v>112</v>
      </c>
      <c r="C28" s="233">
        <f>+Medici_2024!E28</f>
        <v>13</v>
      </c>
      <c r="D28" s="97"/>
      <c r="E28" s="234">
        <f t="shared" si="1"/>
        <v>13</v>
      </c>
      <c r="F28" s="235">
        <f>101*E28</f>
        <v>1313</v>
      </c>
      <c r="G28" s="99"/>
      <c r="H28" s="97">
        <v>0</v>
      </c>
      <c r="I28" s="100">
        <f t="shared" si="2"/>
        <v>0</v>
      </c>
      <c r="J28" s="104"/>
      <c r="K28" s="98"/>
    </row>
    <row r="29" spans="1:11" s="93" customFormat="1" ht="11.25">
      <c r="A29" s="94" t="s">
        <v>113</v>
      </c>
      <c r="B29" s="95" t="s">
        <v>114</v>
      </c>
      <c r="C29" s="233">
        <f>+Medici_2024!E29</f>
        <v>4</v>
      </c>
      <c r="D29" s="97"/>
      <c r="E29" s="234">
        <f t="shared" si="1"/>
        <v>4</v>
      </c>
      <c r="F29" s="235">
        <f>101*E29</f>
        <v>404</v>
      </c>
      <c r="G29" s="99">
        <v>3</v>
      </c>
      <c r="H29" s="97">
        <v>0</v>
      </c>
      <c r="I29" s="100">
        <f t="shared" si="2"/>
        <v>3</v>
      </c>
      <c r="J29" s="104"/>
      <c r="K29" s="98"/>
    </row>
    <row r="30" spans="1:11" s="93" customFormat="1" ht="11.25">
      <c r="A30" s="94" t="s">
        <v>115</v>
      </c>
      <c r="B30" s="95" t="s">
        <v>116</v>
      </c>
      <c r="C30" s="233">
        <f>+Medici_2024!E30</f>
        <v>13</v>
      </c>
      <c r="D30" s="97">
        <v>0</v>
      </c>
      <c r="E30" s="234">
        <f t="shared" si="1"/>
        <v>13</v>
      </c>
      <c r="F30" s="235">
        <f>101*E30</f>
        <v>1313</v>
      </c>
      <c r="G30" s="99">
        <v>5</v>
      </c>
      <c r="H30" s="97">
        <v>0</v>
      </c>
      <c r="I30" s="100">
        <f t="shared" si="2"/>
        <v>5</v>
      </c>
      <c r="J30" s="104"/>
      <c r="K30" s="98"/>
    </row>
    <row r="31" spans="1:11" s="93" customFormat="1" ht="11.25">
      <c r="A31" s="94" t="s">
        <v>117</v>
      </c>
      <c r="B31" s="95" t="s">
        <v>118</v>
      </c>
      <c r="C31" s="233">
        <f>+Medici_2024!E31</f>
        <v>50</v>
      </c>
      <c r="D31" s="97"/>
      <c r="E31" s="234">
        <f t="shared" si="1"/>
        <v>50</v>
      </c>
      <c r="F31" s="235">
        <f>+E31*101</f>
        <v>5050</v>
      </c>
      <c r="G31" s="99">
        <v>5</v>
      </c>
      <c r="H31" s="97"/>
      <c r="I31" s="100">
        <f t="shared" si="2"/>
        <v>5</v>
      </c>
      <c r="J31" s="104"/>
      <c r="K31" s="98"/>
    </row>
    <row r="32" spans="1:11" s="93" customFormat="1" ht="11.25">
      <c r="A32" s="94" t="s">
        <v>119</v>
      </c>
      <c r="B32" s="95" t="s">
        <v>120</v>
      </c>
      <c r="C32" s="233">
        <f>+Medici_2024!E32</f>
        <v>0</v>
      </c>
      <c r="D32" s="97"/>
      <c r="E32" s="234">
        <f t="shared" si="1"/>
        <v>0</v>
      </c>
      <c r="F32" s="235"/>
      <c r="G32" s="99"/>
      <c r="H32" s="97"/>
      <c r="I32" s="100">
        <f t="shared" si="2"/>
        <v>0</v>
      </c>
      <c r="J32" s="104"/>
      <c r="K32" s="98"/>
    </row>
    <row r="33" spans="1:11" s="93" customFormat="1" ht="11.25">
      <c r="A33" s="94" t="s">
        <v>121</v>
      </c>
      <c r="B33" s="95" t="s">
        <v>122</v>
      </c>
      <c r="C33" s="233">
        <f>+Medici_2024!E33</f>
        <v>7</v>
      </c>
      <c r="D33" s="97">
        <v>1</v>
      </c>
      <c r="E33" s="234">
        <f t="shared" si="1"/>
        <v>8</v>
      </c>
      <c r="F33" s="235">
        <f>101*E33</f>
        <v>808</v>
      </c>
      <c r="G33" s="99"/>
      <c r="H33" s="97">
        <v>0</v>
      </c>
      <c r="I33" s="100">
        <f t="shared" si="2"/>
        <v>0</v>
      </c>
      <c r="J33" s="104"/>
      <c r="K33" s="98"/>
    </row>
    <row r="34" spans="1:11" s="93" customFormat="1" ht="11.25">
      <c r="A34" s="94" t="s">
        <v>123</v>
      </c>
      <c r="B34" s="95" t="s">
        <v>124</v>
      </c>
      <c r="C34" s="233">
        <f>+Medici_2024!E34</f>
        <v>2</v>
      </c>
      <c r="D34" s="97"/>
      <c r="E34" s="234">
        <f t="shared" si="1"/>
        <v>2</v>
      </c>
      <c r="F34" s="235">
        <f>101*E34</f>
        <v>202</v>
      </c>
      <c r="G34" s="99">
        <v>1</v>
      </c>
      <c r="H34" s="97"/>
      <c r="I34" s="100">
        <f t="shared" si="2"/>
        <v>1</v>
      </c>
      <c r="J34" s="104"/>
      <c r="K34" s="98"/>
    </row>
    <row r="35" spans="1:11" s="93" customFormat="1" ht="11.25">
      <c r="A35" s="94" t="s">
        <v>125</v>
      </c>
      <c r="B35" s="95" t="s">
        <v>126</v>
      </c>
      <c r="C35" s="233">
        <f>+Medici_2024!E35</f>
        <v>0</v>
      </c>
      <c r="D35" s="97"/>
      <c r="E35" s="234">
        <f t="shared" si="1"/>
        <v>0</v>
      </c>
      <c r="F35" s="235"/>
      <c r="G35" s="99">
        <v>9</v>
      </c>
      <c r="H35" s="97">
        <v>0</v>
      </c>
      <c r="I35" s="100">
        <f t="shared" si="2"/>
        <v>9</v>
      </c>
      <c r="J35" s="104"/>
      <c r="K35" s="98"/>
    </row>
    <row r="36" spans="1:11" s="93" customFormat="1" ht="11.25">
      <c r="A36" s="94" t="s">
        <v>127</v>
      </c>
      <c r="B36" s="95" t="s">
        <v>128</v>
      </c>
      <c r="C36" s="233">
        <f>+Medici_2024!E36</f>
        <v>21</v>
      </c>
      <c r="D36" s="97">
        <v>4</v>
      </c>
      <c r="E36" s="234">
        <f t="shared" si="1"/>
        <v>25</v>
      </c>
      <c r="F36" s="235">
        <f>+E36*101</f>
        <v>2525</v>
      </c>
      <c r="G36" s="99">
        <f>30-E36</f>
        <v>5</v>
      </c>
      <c r="H36" s="97">
        <v>0</v>
      </c>
      <c r="I36" s="100">
        <f t="shared" si="2"/>
        <v>5</v>
      </c>
      <c r="J36" s="104"/>
      <c r="K36" s="98"/>
    </row>
    <row r="37" spans="1:11" s="93" customFormat="1" ht="11.25">
      <c r="A37" s="94" t="s">
        <v>129</v>
      </c>
      <c r="B37" s="95" t="s">
        <v>130</v>
      </c>
      <c r="C37" s="233">
        <f>+Medici_2024!E37</f>
        <v>7</v>
      </c>
      <c r="D37" s="97"/>
      <c r="E37" s="234">
        <f t="shared" si="1"/>
        <v>7</v>
      </c>
      <c r="F37" s="235">
        <f t="shared" ref="F37:F49" si="3">101*E37</f>
        <v>707</v>
      </c>
      <c r="G37" s="99">
        <f>9-E37</f>
        <v>2</v>
      </c>
      <c r="H37" s="97">
        <v>0</v>
      </c>
      <c r="I37" s="100">
        <f t="shared" si="2"/>
        <v>2</v>
      </c>
      <c r="J37" s="104"/>
      <c r="K37" s="98"/>
    </row>
    <row r="38" spans="1:11" s="93" customFormat="1" ht="11.25">
      <c r="A38" s="94" t="s">
        <v>131</v>
      </c>
      <c r="B38" s="95" t="s">
        <v>132</v>
      </c>
      <c r="C38" s="233">
        <f>+Medici_2024!E38</f>
        <v>11</v>
      </c>
      <c r="D38" s="97"/>
      <c r="E38" s="234">
        <f t="shared" si="1"/>
        <v>11</v>
      </c>
      <c r="F38" s="235">
        <f t="shared" si="3"/>
        <v>1111</v>
      </c>
      <c r="G38" s="99">
        <f>11-E38</f>
        <v>0</v>
      </c>
      <c r="H38" s="97">
        <v>0</v>
      </c>
      <c r="I38" s="100">
        <f t="shared" si="2"/>
        <v>0</v>
      </c>
      <c r="J38" s="104"/>
      <c r="K38" s="98"/>
    </row>
    <row r="39" spans="1:11" s="93" customFormat="1" ht="11.25">
      <c r="A39" s="94" t="s">
        <v>133</v>
      </c>
      <c r="B39" s="95" t="s">
        <v>134</v>
      </c>
      <c r="C39" s="233">
        <f>+Medici_2024!E39</f>
        <v>14</v>
      </c>
      <c r="D39" s="97"/>
      <c r="E39" s="234">
        <f t="shared" si="1"/>
        <v>14</v>
      </c>
      <c r="F39" s="235">
        <f t="shared" si="3"/>
        <v>1414</v>
      </c>
      <c r="G39" s="99">
        <v>7</v>
      </c>
      <c r="H39" s="97">
        <v>0</v>
      </c>
      <c r="I39" s="100">
        <f t="shared" si="2"/>
        <v>7</v>
      </c>
      <c r="J39" s="104"/>
      <c r="K39" s="98"/>
    </row>
    <row r="40" spans="1:11" s="93" customFormat="1" ht="11.25">
      <c r="A40" s="94" t="s">
        <v>135</v>
      </c>
      <c r="B40" s="95" t="s">
        <v>136</v>
      </c>
      <c r="C40" s="233">
        <f>+Medici_2024!E40</f>
        <v>7</v>
      </c>
      <c r="D40" s="97"/>
      <c r="E40" s="234">
        <f t="shared" si="1"/>
        <v>7</v>
      </c>
      <c r="F40" s="235">
        <f t="shared" si="3"/>
        <v>707</v>
      </c>
      <c r="G40" s="99">
        <v>2</v>
      </c>
      <c r="H40" s="97">
        <v>0</v>
      </c>
      <c r="I40" s="100">
        <f t="shared" si="2"/>
        <v>2</v>
      </c>
      <c r="J40" s="104"/>
      <c r="K40" s="98"/>
    </row>
    <row r="41" spans="1:11" s="93" customFormat="1" ht="11.25">
      <c r="A41" s="94" t="s">
        <v>137</v>
      </c>
      <c r="B41" s="95" t="s">
        <v>138</v>
      </c>
      <c r="C41" s="233">
        <f>+Medici_2024!E41</f>
        <v>12</v>
      </c>
      <c r="D41" s="97"/>
      <c r="E41" s="234">
        <f t="shared" si="1"/>
        <v>12</v>
      </c>
      <c r="F41" s="235">
        <f t="shared" si="3"/>
        <v>1212</v>
      </c>
      <c r="G41" s="99">
        <v>1</v>
      </c>
      <c r="H41" s="97">
        <v>0</v>
      </c>
      <c r="I41" s="100">
        <f t="shared" si="2"/>
        <v>1</v>
      </c>
      <c r="J41" s="104"/>
      <c r="K41" s="98"/>
    </row>
    <row r="42" spans="1:11" s="93" customFormat="1" ht="11.25">
      <c r="A42" s="94" t="s">
        <v>139</v>
      </c>
      <c r="B42" s="95" t="s">
        <v>140</v>
      </c>
      <c r="C42" s="233">
        <f>+Medici_2024!E42</f>
        <v>28</v>
      </c>
      <c r="D42" s="97"/>
      <c r="E42" s="234">
        <f t="shared" ref="E42:E73" si="4">+D42+C42</f>
        <v>28</v>
      </c>
      <c r="F42" s="235">
        <f t="shared" si="3"/>
        <v>2828</v>
      </c>
      <c r="G42" s="99">
        <f>30-E42</f>
        <v>2</v>
      </c>
      <c r="H42" s="97"/>
      <c r="I42" s="100">
        <f t="shared" ref="I42:I73" si="5">+G42-H42</f>
        <v>2</v>
      </c>
      <c r="J42" s="104"/>
      <c r="K42" s="98"/>
    </row>
    <row r="43" spans="1:11" s="93" customFormat="1" ht="11.25">
      <c r="A43" s="94" t="s">
        <v>141</v>
      </c>
      <c r="B43" s="95" t="s">
        <v>142</v>
      </c>
      <c r="C43" s="233">
        <f>+Medici_2024!E43</f>
        <v>16</v>
      </c>
      <c r="D43" s="97"/>
      <c r="E43" s="234">
        <f t="shared" si="4"/>
        <v>16</v>
      </c>
      <c r="F43" s="235">
        <f t="shared" si="3"/>
        <v>1616</v>
      </c>
      <c r="G43" s="99"/>
      <c r="H43" s="97">
        <v>0</v>
      </c>
      <c r="I43" s="100">
        <f t="shared" si="5"/>
        <v>0</v>
      </c>
      <c r="J43" s="104"/>
      <c r="K43" s="98"/>
    </row>
    <row r="44" spans="1:11" s="93" customFormat="1" ht="11.25">
      <c r="A44" s="94" t="s">
        <v>143</v>
      </c>
      <c r="B44" s="95" t="s">
        <v>144</v>
      </c>
      <c r="C44" s="233">
        <f>+Medici_2024!E44</f>
        <v>9</v>
      </c>
      <c r="D44" s="97"/>
      <c r="E44" s="234">
        <f t="shared" si="4"/>
        <v>9</v>
      </c>
      <c r="F44" s="235">
        <f t="shared" si="3"/>
        <v>909</v>
      </c>
      <c r="G44" s="99"/>
      <c r="H44" s="97">
        <v>0</v>
      </c>
      <c r="I44" s="100">
        <f t="shared" si="5"/>
        <v>0</v>
      </c>
      <c r="J44" s="104"/>
      <c r="K44" s="98"/>
    </row>
    <row r="45" spans="1:11" s="93" customFormat="1" ht="11.25">
      <c r="A45" s="94" t="s">
        <v>145</v>
      </c>
      <c r="B45" s="95" t="s">
        <v>146</v>
      </c>
      <c r="C45" s="233">
        <f>+Medici_2024!E45</f>
        <v>12</v>
      </c>
      <c r="D45" s="97">
        <v>4</v>
      </c>
      <c r="E45" s="234">
        <f t="shared" si="4"/>
        <v>16</v>
      </c>
      <c r="F45" s="235">
        <f t="shared" si="3"/>
        <v>1616</v>
      </c>
      <c r="G45" s="99">
        <v>5</v>
      </c>
      <c r="H45" s="97">
        <v>0</v>
      </c>
      <c r="I45" s="100">
        <f t="shared" si="5"/>
        <v>5</v>
      </c>
      <c r="J45" s="104"/>
      <c r="K45" s="98"/>
    </row>
    <row r="46" spans="1:11" s="93" customFormat="1" ht="11.25">
      <c r="A46" s="94" t="s">
        <v>147</v>
      </c>
      <c r="B46" s="95" t="s">
        <v>148</v>
      </c>
      <c r="C46" s="233">
        <f>+Medici_2024!E46</f>
        <v>8</v>
      </c>
      <c r="D46" s="97">
        <v>3</v>
      </c>
      <c r="E46" s="234">
        <f t="shared" si="4"/>
        <v>11</v>
      </c>
      <c r="F46" s="235">
        <f t="shared" si="3"/>
        <v>1111</v>
      </c>
      <c r="G46" s="99"/>
      <c r="H46" s="97">
        <v>0</v>
      </c>
      <c r="I46" s="100">
        <f t="shared" si="5"/>
        <v>0</v>
      </c>
      <c r="J46" s="104"/>
      <c r="K46" s="98"/>
    </row>
    <row r="47" spans="1:11" s="93" customFormat="1" ht="11.25">
      <c r="A47" s="94" t="s">
        <v>149</v>
      </c>
      <c r="B47" s="95" t="s">
        <v>150</v>
      </c>
      <c r="C47" s="233">
        <f>+Medici_2024!E47</f>
        <v>11</v>
      </c>
      <c r="D47" s="97"/>
      <c r="E47" s="234">
        <f t="shared" si="4"/>
        <v>11</v>
      </c>
      <c r="F47" s="235">
        <f t="shared" si="3"/>
        <v>1111</v>
      </c>
      <c r="G47" s="99">
        <v>5</v>
      </c>
      <c r="H47" s="97"/>
      <c r="I47" s="100">
        <f t="shared" si="5"/>
        <v>5</v>
      </c>
      <c r="J47" s="104"/>
      <c r="K47" s="98"/>
    </row>
    <row r="48" spans="1:11" s="93" customFormat="1" ht="11.25">
      <c r="A48" s="94" t="s">
        <v>151</v>
      </c>
      <c r="B48" s="95" t="s">
        <v>152</v>
      </c>
      <c r="C48" s="233">
        <f>+Medici_2024!E48</f>
        <v>8</v>
      </c>
      <c r="D48" s="97"/>
      <c r="E48" s="234">
        <f t="shared" si="4"/>
        <v>8</v>
      </c>
      <c r="F48" s="235">
        <f t="shared" si="3"/>
        <v>808</v>
      </c>
      <c r="G48" s="99"/>
      <c r="H48" s="97">
        <v>0</v>
      </c>
      <c r="I48" s="100">
        <f t="shared" si="5"/>
        <v>0</v>
      </c>
      <c r="J48" s="104"/>
      <c r="K48" s="98"/>
    </row>
    <row r="49" spans="1:11" s="93" customFormat="1" ht="11.25">
      <c r="A49" s="94" t="s">
        <v>153</v>
      </c>
      <c r="B49" s="95" t="s">
        <v>154</v>
      </c>
      <c r="C49" s="233">
        <f>+Medici_2024!E49</f>
        <v>102</v>
      </c>
      <c r="D49" s="97">
        <v>3</v>
      </c>
      <c r="E49" s="234">
        <f t="shared" si="4"/>
        <v>105</v>
      </c>
      <c r="F49" s="235">
        <f t="shared" si="3"/>
        <v>10605</v>
      </c>
      <c r="G49" s="99"/>
      <c r="H49" s="97">
        <v>0</v>
      </c>
      <c r="I49" s="100">
        <f t="shared" si="5"/>
        <v>0</v>
      </c>
      <c r="J49" s="104"/>
      <c r="K49" s="98"/>
    </row>
    <row r="50" spans="1:11" s="93" customFormat="1" ht="11.25">
      <c r="A50" s="94" t="s">
        <v>155</v>
      </c>
      <c r="B50" s="95" t="s">
        <v>156</v>
      </c>
      <c r="C50" s="233">
        <f>+Medici_2024!E50</f>
        <v>0</v>
      </c>
      <c r="D50" s="97"/>
      <c r="E50" s="234">
        <f t="shared" si="4"/>
        <v>0</v>
      </c>
      <c r="F50" s="235"/>
      <c r="G50" s="99"/>
      <c r="H50" s="97"/>
      <c r="I50" s="100">
        <f t="shared" si="5"/>
        <v>0</v>
      </c>
      <c r="J50" s="104"/>
      <c r="K50" s="98"/>
    </row>
    <row r="51" spans="1:11" s="93" customFormat="1" ht="11.25">
      <c r="A51" s="94" t="s">
        <v>157</v>
      </c>
      <c r="B51" s="95" t="s">
        <v>158</v>
      </c>
      <c r="C51" s="233">
        <f>+Medici_2024!E51</f>
        <v>0</v>
      </c>
      <c r="D51" s="97"/>
      <c r="E51" s="234">
        <f t="shared" si="4"/>
        <v>0</v>
      </c>
      <c r="F51" s="235"/>
      <c r="G51" s="99"/>
      <c r="H51" s="97"/>
      <c r="I51" s="100">
        <f t="shared" si="5"/>
        <v>0</v>
      </c>
      <c r="J51" s="104"/>
      <c r="K51" s="98"/>
    </row>
    <row r="52" spans="1:11" s="93" customFormat="1" ht="11.25">
      <c r="A52" s="94" t="s">
        <v>159</v>
      </c>
      <c r="B52" s="95" t="s">
        <v>160</v>
      </c>
      <c r="C52" s="233">
        <f>+Medici_2024!E52</f>
        <v>0</v>
      </c>
      <c r="D52" s="97"/>
      <c r="E52" s="234">
        <f t="shared" si="4"/>
        <v>0</v>
      </c>
      <c r="F52" s="235"/>
      <c r="G52" s="99"/>
      <c r="H52" s="97"/>
      <c r="I52" s="100">
        <f t="shared" si="5"/>
        <v>0</v>
      </c>
      <c r="J52" s="104"/>
      <c r="K52" s="98"/>
    </row>
    <row r="53" spans="1:11" s="93" customFormat="1" ht="11.25">
      <c r="A53" s="94" t="s">
        <v>161</v>
      </c>
      <c r="B53" s="95" t="s">
        <v>162</v>
      </c>
      <c r="C53" s="233">
        <f>+Medici_2024!E53</f>
        <v>11</v>
      </c>
      <c r="D53" s="97"/>
      <c r="E53" s="234">
        <f t="shared" si="4"/>
        <v>11</v>
      </c>
      <c r="F53" s="235">
        <f>+E53*101</f>
        <v>1111</v>
      </c>
      <c r="G53" s="99"/>
      <c r="H53" s="97">
        <v>0</v>
      </c>
      <c r="I53" s="100">
        <f t="shared" si="5"/>
        <v>0</v>
      </c>
      <c r="J53" s="104"/>
      <c r="K53" s="98"/>
    </row>
    <row r="54" spans="1:11" s="93" customFormat="1" ht="11.25">
      <c r="A54" s="94" t="s">
        <v>163</v>
      </c>
      <c r="B54" s="95" t="s">
        <v>164</v>
      </c>
      <c r="C54" s="233">
        <f>+Medici_2024!E54</f>
        <v>0</v>
      </c>
      <c r="D54" s="97"/>
      <c r="E54" s="234">
        <f t="shared" si="4"/>
        <v>0</v>
      </c>
      <c r="F54" s="235">
        <f>101*1</f>
        <v>101</v>
      </c>
      <c r="G54" s="99">
        <v>1</v>
      </c>
      <c r="H54" s="97">
        <v>0</v>
      </c>
      <c r="I54" s="100">
        <f t="shared" si="5"/>
        <v>1</v>
      </c>
      <c r="J54" s="104"/>
      <c r="K54" s="98"/>
    </row>
    <row r="55" spans="1:11" s="93" customFormat="1" ht="11.25">
      <c r="A55" s="94" t="s">
        <v>165</v>
      </c>
      <c r="B55" s="95" t="s">
        <v>166</v>
      </c>
      <c r="C55" s="233">
        <f>+Medici_2024!E55</f>
        <v>7</v>
      </c>
      <c r="D55" s="97"/>
      <c r="E55" s="234">
        <f t="shared" si="4"/>
        <v>7</v>
      </c>
      <c r="F55" s="235">
        <f>101*E55</f>
        <v>707</v>
      </c>
      <c r="G55" s="99"/>
      <c r="H55" s="97">
        <v>0</v>
      </c>
      <c r="I55" s="100">
        <f t="shared" si="5"/>
        <v>0</v>
      </c>
      <c r="J55" s="104"/>
      <c r="K55" s="98"/>
    </row>
    <row r="56" spans="1:11" s="93" customFormat="1" ht="11.25">
      <c r="A56" s="94" t="s">
        <v>167</v>
      </c>
      <c r="B56" s="95" t="s">
        <v>168</v>
      </c>
      <c r="C56" s="233">
        <f>+Medici_2024!E56</f>
        <v>4</v>
      </c>
      <c r="D56" s="97"/>
      <c r="E56" s="234">
        <f t="shared" si="4"/>
        <v>4</v>
      </c>
      <c r="F56" s="235">
        <f>+E56*101</f>
        <v>404</v>
      </c>
      <c r="G56" s="99">
        <v>1</v>
      </c>
      <c r="H56" s="97">
        <v>0</v>
      </c>
      <c r="I56" s="100">
        <f t="shared" si="5"/>
        <v>1</v>
      </c>
      <c r="J56" s="104"/>
      <c r="K56" s="98"/>
    </row>
    <row r="57" spans="1:11" s="93" customFormat="1" ht="11.25">
      <c r="A57" s="94" t="s">
        <v>169</v>
      </c>
      <c r="B57" s="95" t="s">
        <v>170</v>
      </c>
      <c r="C57" s="233">
        <f>+Medici_2024!E57</f>
        <v>0</v>
      </c>
      <c r="D57" s="97"/>
      <c r="E57" s="234">
        <f t="shared" si="4"/>
        <v>0</v>
      </c>
      <c r="F57" s="235"/>
      <c r="G57" s="99"/>
      <c r="H57" s="97"/>
      <c r="I57" s="100">
        <f t="shared" si="5"/>
        <v>0</v>
      </c>
      <c r="J57" s="104"/>
      <c r="K57" s="98"/>
    </row>
    <row r="58" spans="1:11" s="93" customFormat="1" ht="11.25">
      <c r="A58" s="94" t="s">
        <v>171</v>
      </c>
      <c r="B58" s="95" t="s">
        <v>172</v>
      </c>
      <c r="C58" s="233">
        <f>+Medici_2024!E58</f>
        <v>10</v>
      </c>
      <c r="D58" s="97"/>
      <c r="E58" s="234">
        <f t="shared" si="4"/>
        <v>10</v>
      </c>
      <c r="F58" s="235">
        <f>101*E58</f>
        <v>1010</v>
      </c>
      <c r="G58" s="99">
        <v>1</v>
      </c>
      <c r="H58" s="97">
        <v>0</v>
      </c>
      <c r="I58" s="100">
        <f t="shared" si="5"/>
        <v>1</v>
      </c>
      <c r="J58" s="104"/>
      <c r="K58" s="98"/>
    </row>
    <row r="59" spans="1:11" s="93" customFormat="1" ht="11.25">
      <c r="A59" s="94" t="s">
        <v>173</v>
      </c>
      <c r="B59" s="95" t="s">
        <v>174</v>
      </c>
      <c r="C59" s="233">
        <f>+Medici_2024!E59</f>
        <v>5</v>
      </c>
      <c r="D59" s="97"/>
      <c r="E59" s="234">
        <f t="shared" si="4"/>
        <v>5</v>
      </c>
      <c r="F59" s="235">
        <f>101*E59</f>
        <v>505</v>
      </c>
      <c r="G59" s="99">
        <v>4</v>
      </c>
      <c r="H59" s="97"/>
      <c r="I59" s="100">
        <f t="shared" si="5"/>
        <v>4</v>
      </c>
      <c r="J59" s="104"/>
      <c r="K59" s="98"/>
    </row>
    <row r="60" spans="1:11" s="93" customFormat="1" ht="11.25">
      <c r="A60" s="94" t="s">
        <v>175</v>
      </c>
      <c r="B60" s="95" t="s">
        <v>176</v>
      </c>
      <c r="C60" s="233">
        <f>+Medici_2024!E60</f>
        <v>34</v>
      </c>
      <c r="D60" s="97"/>
      <c r="E60" s="234">
        <f t="shared" si="4"/>
        <v>34</v>
      </c>
      <c r="F60" s="235">
        <f>101*E60</f>
        <v>3434</v>
      </c>
      <c r="G60" s="99">
        <f>43-E60</f>
        <v>9</v>
      </c>
      <c r="H60" s="97"/>
      <c r="I60" s="100">
        <f t="shared" si="5"/>
        <v>9</v>
      </c>
      <c r="J60" s="104"/>
      <c r="K60" s="98"/>
    </row>
    <row r="61" spans="1:11" s="93" customFormat="1" ht="11.25">
      <c r="A61" s="94" t="s">
        <v>177</v>
      </c>
      <c r="B61" s="95" t="s">
        <v>178</v>
      </c>
      <c r="C61" s="233">
        <f>+Medici_2024!E61</f>
        <v>0</v>
      </c>
      <c r="D61" s="97"/>
      <c r="E61" s="234">
        <f t="shared" si="4"/>
        <v>0</v>
      </c>
      <c r="F61" s="235"/>
      <c r="G61" s="99"/>
      <c r="H61" s="97"/>
      <c r="I61" s="100">
        <f t="shared" si="5"/>
        <v>0</v>
      </c>
      <c r="J61" s="104"/>
      <c r="K61" s="98"/>
    </row>
    <row r="62" spans="1:11" s="93" customFormat="1" ht="11.25">
      <c r="A62" s="94" t="s">
        <v>179</v>
      </c>
      <c r="B62" s="95" t="s">
        <v>180</v>
      </c>
      <c r="C62" s="233">
        <f>+Medici_2024!E62</f>
        <v>0</v>
      </c>
      <c r="D62" s="97"/>
      <c r="E62" s="234">
        <f t="shared" si="4"/>
        <v>0</v>
      </c>
      <c r="F62" s="235"/>
      <c r="G62" s="99"/>
      <c r="H62" s="97"/>
      <c r="I62" s="100">
        <f t="shared" si="5"/>
        <v>0</v>
      </c>
      <c r="J62" s="104"/>
      <c r="K62" s="98"/>
    </row>
    <row r="63" spans="1:11" s="93" customFormat="1" ht="11.25">
      <c r="A63" s="94" t="s">
        <v>181</v>
      </c>
      <c r="B63" s="95" t="s">
        <v>182</v>
      </c>
      <c r="C63" s="233">
        <f>+Medici_2024!E63</f>
        <v>2</v>
      </c>
      <c r="D63" s="97"/>
      <c r="E63" s="234">
        <f t="shared" si="4"/>
        <v>2</v>
      </c>
      <c r="F63" s="235">
        <f>101*2</f>
        <v>202</v>
      </c>
      <c r="G63" s="99">
        <v>0</v>
      </c>
      <c r="H63" s="97">
        <v>0</v>
      </c>
      <c r="I63" s="100">
        <f t="shared" si="5"/>
        <v>0</v>
      </c>
      <c r="J63" s="104"/>
      <c r="K63" s="98"/>
    </row>
    <row r="64" spans="1:11" s="93" customFormat="1" ht="11.25">
      <c r="A64" s="94" t="s">
        <v>183</v>
      </c>
      <c r="B64" s="95" t="s">
        <v>184</v>
      </c>
      <c r="C64" s="233">
        <f>+Medici_2024!E64</f>
        <v>0</v>
      </c>
      <c r="D64" s="97"/>
      <c r="E64" s="234">
        <f t="shared" si="4"/>
        <v>0</v>
      </c>
      <c r="F64" s="235"/>
      <c r="G64" s="99"/>
      <c r="H64" s="97"/>
      <c r="I64" s="100">
        <f t="shared" si="5"/>
        <v>0</v>
      </c>
      <c r="J64" s="104"/>
      <c r="K64" s="98"/>
    </row>
    <row r="65" spans="1:11" s="93" customFormat="1" ht="33.75">
      <c r="A65" s="94" t="s">
        <v>185</v>
      </c>
      <c r="B65" s="95" t="s">
        <v>186</v>
      </c>
      <c r="C65" s="233">
        <f>+Medici_2024!E65</f>
        <v>0</v>
      </c>
      <c r="D65" s="97"/>
      <c r="E65" s="234">
        <f t="shared" si="4"/>
        <v>0</v>
      </c>
      <c r="F65" s="235"/>
      <c r="G65" s="99"/>
      <c r="H65" s="97"/>
      <c r="I65" s="100">
        <f t="shared" si="5"/>
        <v>0</v>
      </c>
      <c r="J65" s="104"/>
      <c r="K65" s="98"/>
    </row>
    <row r="66" spans="1:11" s="93" customFormat="1" ht="11.25">
      <c r="A66" s="94" t="s">
        <v>187</v>
      </c>
      <c r="B66" s="95" t="s">
        <v>188</v>
      </c>
      <c r="C66" s="233">
        <f>+Medici_2024!E66</f>
        <v>0</v>
      </c>
      <c r="D66" s="97"/>
      <c r="E66" s="234">
        <f t="shared" si="4"/>
        <v>0</v>
      </c>
      <c r="F66" s="235"/>
      <c r="G66" s="99"/>
      <c r="H66" s="97"/>
      <c r="I66" s="100">
        <f t="shared" si="5"/>
        <v>0</v>
      </c>
      <c r="J66" s="104"/>
      <c r="K66" s="98"/>
    </row>
    <row r="67" spans="1:11" s="93" customFormat="1" ht="11.25">
      <c r="A67" s="94" t="s">
        <v>189</v>
      </c>
      <c r="B67" s="95" t="s">
        <v>190</v>
      </c>
      <c r="C67" s="233">
        <f>+Medici_2024!E67</f>
        <v>0</v>
      </c>
      <c r="D67" s="97"/>
      <c r="E67" s="234">
        <f t="shared" si="4"/>
        <v>0</v>
      </c>
      <c r="F67" s="235"/>
      <c r="G67" s="99"/>
      <c r="H67" s="97"/>
      <c r="I67" s="100">
        <f t="shared" si="5"/>
        <v>0</v>
      </c>
      <c r="J67" s="104"/>
      <c r="K67" s="98"/>
    </row>
    <row r="68" spans="1:11" s="93" customFormat="1" ht="11.25">
      <c r="A68" s="94" t="s">
        <v>191</v>
      </c>
      <c r="B68" s="95" t="s">
        <v>192</v>
      </c>
      <c r="C68" s="233">
        <f>+Medici_2024!E68</f>
        <v>0</v>
      </c>
      <c r="D68" s="97"/>
      <c r="E68" s="234">
        <f t="shared" si="4"/>
        <v>0</v>
      </c>
      <c r="F68" s="235"/>
      <c r="G68" s="99"/>
      <c r="H68" s="97"/>
      <c r="I68" s="100">
        <f t="shared" si="5"/>
        <v>0</v>
      </c>
      <c r="J68" s="104"/>
      <c r="K68" s="98"/>
    </row>
    <row r="69" spans="1:11" s="93" customFormat="1" ht="11.25">
      <c r="A69" s="94" t="s">
        <v>193</v>
      </c>
      <c r="B69" s="95" t="s">
        <v>194</v>
      </c>
      <c r="C69" s="233">
        <f>+Medici_2024!E69</f>
        <v>0</v>
      </c>
      <c r="D69" s="97"/>
      <c r="E69" s="234">
        <f t="shared" si="4"/>
        <v>0</v>
      </c>
      <c r="F69" s="235"/>
      <c r="G69" s="99"/>
      <c r="H69" s="97"/>
      <c r="I69" s="100">
        <f t="shared" si="5"/>
        <v>0</v>
      </c>
      <c r="J69" s="104"/>
      <c r="K69" s="98"/>
    </row>
    <row r="70" spans="1:11" s="93" customFormat="1" ht="11.25">
      <c r="A70" s="94" t="s">
        <v>195</v>
      </c>
      <c r="B70" s="95" t="s">
        <v>196</v>
      </c>
      <c r="C70" s="233">
        <f>+Medici_2024!E70</f>
        <v>0</v>
      </c>
      <c r="D70" s="97"/>
      <c r="E70" s="234">
        <f t="shared" si="4"/>
        <v>0</v>
      </c>
      <c r="F70" s="235"/>
      <c r="G70" s="99"/>
      <c r="H70" s="97"/>
      <c r="I70" s="100">
        <f t="shared" si="5"/>
        <v>0</v>
      </c>
      <c r="J70" s="104"/>
      <c r="K70" s="98"/>
    </row>
    <row r="71" spans="1:11" s="93" customFormat="1" ht="11.25">
      <c r="A71" s="94" t="s">
        <v>197</v>
      </c>
      <c r="B71" s="95" t="s">
        <v>198</v>
      </c>
      <c r="C71" s="233">
        <f>+Medici_2024!E71</f>
        <v>0</v>
      </c>
      <c r="D71" s="97"/>
      <c r="E71" s="234">
        <f t="shared" si="4"/>
        <v>0</v>
      </c>
      <c r="F71" s="235"/>
      <c r="G71" s="99"/>
      <c r="H71" s="97"/>
      <c r="I71" s="100">
        <f t="shared" si="5"/>
        <v>0</v>
      </c>
      <c r="J71" s="104"/>
      <c r="K71" s="98"/>
    </row>
    <row r="72" spans="1:11" s="93" customFormat="1" ht="11.25">
      <c r="A72" s="94" t="s">
        <v>199</v>
      </c>
      <c r="B72" s="95" t="s">
        <v>200</v>
      </c>
      <c r="C72" s="233">
        <f>+Medici_2024!E72</f>
        <v>0</v>
      </c>
      <c r="D72" s="97"/>
      <c r="E72" s="234">
        <f t="shared" si="4"/>
        <v>0</v>
      </c>
      <c r="F72" s="235"/>
      <c r="G72" s="99"/>
      <c r="H72" s="97"/>
      <c r="I72" s="100">
        <f t="shared" si="5"/>
        <v>0</v>
      </c>
      <c r="J72" s="104"/>
      <c r="K72" s="98"/>
    </row>
    <row r="73" spans="1:11" s="93" customFormat="1" ht="11.25">
      <c r="A73" s="94" t="s">
        <v>201</v>
      </c>
      <c r="B73" s="95" t="s">
        <v>202</v>
      </c>
      <c r="C73" s="233">
        <f>+Medici_2024!E73</f>
        <v>0</v>
      </c>
      <c r="D73" s="97"/>
      <c r="E73" s="234">
        <f t="shared" si="4"/>
        <v>0</v>
      </c>
      <c r="F73" s="235"/>
      <c r="G73" s="99"/>
      <c r="H73" s="97"/>
      <c r="I73" s="100">
        <f t="shared" si="5"/>
        <v>0</v>
      </c>
      <c r="J73" s="104"/>
      <c r="K73" s="98"/>
    </row>
    <row r="74" spans="1:11" s="93" customFormat="1" ht="11.25">
      <c r="A74" s="94" t="s">
        <v>203</v>
      </c>
      <c r="B74" s="95" t="s">
        <v>204</v>
      </c>
      <c r="C74" s="233">
        <f>+Medici_2024!E74</f>
        <v>0</v>
      </c>
      <c r="D74" s="97"/>
      <c r="E74" s="234">
        <f t="shared" ref="E74:E79" si="6">+D74+C74</f>
        <v>0</v>
      </c>
      <c r="F74" s="235"/>
      <c r="G74" s="99"/>
      <c r="H74" s="97"/>
      <c r="I74" s="100">
        <f t="shared" ref="I74:I79" si="7">+G74-H74</f>
        <v>0</v>
      </c>
      <c r="J74" s="104"/>
      <c r="K74" s="98"/>
    </row>
    <row r="75" spans="1:11" s="93" customFormat="1" ht="11.25">
      <c r="A75" s="94" t="s">
        <v>205</v>
      </c>
      <c r="B75" s="95" t="s">
        <v>206</v>
      </c>
      <c r="C75" s="233">
        <f>+Medici_2024!E75</f>
        <v>17</v>
      </c>
      <c r="D75" s="97"/>
      <c r="E75" s="234">
        <f t="shared" si="6"/>
        <v>17</v>
      </c>
      <c r="F75" s="235">
        <f>101*E75</f>
        <v>1717</v>
      </c>
      <c r="G75" s="99">
        <v>4</v>
      </c>
      <c r="H75" s="97">
        <v>0</v>
      </c>
      <c r="I75" s="100">
        <f t="shared" si="7"/>
        <v>4</v>
      </c>
      <c r="J75" s="104"/>
      <c r="K75" s="98"/>
    </row>
    <row r="76" spans="1:11" s="93" customFormat="1" ht="11.25">
      <c r="A76" s="94" t="s">
        <v>207</v>
      </c>
      <c r="B76" s="95" t="s">
        <v>208</v>
      </c>
      <c r="C76" s="233">
        <f>+Medici_2024!E76</f>
        <v>0</v>
      </c>
      <c r="D76" s="97"/>
      <c r="E76" s="234">
        <f t="shared" si="6"/>
        <v>0</v>
      </c>
      <c r="F76" s="235"/>
      <c r="G76" s="99"/>
      <c r="H76" s="97"/>
      <c r="I76" s="100">
        <f t="shared" si="7"/>
        <v>0</v>
      </c>
      <c r="J76" s="104"/>
      <c r="K76" s="98"/>
    </row>
    <row r="77" spans="1:11" s="93" customFormat="1" ht="11.25">
      <c r="A77" s="94" t="s">
        <v>209</v>
      </c>
      <c r="B77" s="95" t="s">
        <v>210</v>
      </c>
      <c r="C77" s="233">
        <f>+Medici_2024!E77</f>
        <v>0</v>
      </c>
      <c r="D77" s="97"/>
      <c r="E77" s="234">
        <f t="shared" si="6"/>
        <v>0</v>
      </c>
      <c r="F77" s="235"/>
      <c r="G77" s="99"/>
      <c r="H77" s="97"/>
      <c r="I77" s="100">
        <f t="shared" si="7"/>
        <v>0</v>
      </c>
      <c r="J77" s="104"/>
      <c r="K77" s="98"/>
    </row>
    <row r="78" spans="1:11">
      <c r="A78" s="94" t="s">
        <v>211</v>
      </c>
      <c r="B78" s="95" t="s">
        <v>212</v>
      </c>
      <c r="C78" s="233">
        <f>+Medici_2024!E78</f>
        <v>3</v>
      </c>
      <c r="D78" s="97"/>
      <c r="E78" s="234">
        <f t="shared" si="6"/>
        <v>3</v>
      </c>
      <c r="F78" s="235">
        <f>101*E78</f>
        <v>303</v>
      </c>
      <c r="G78" s="99">
        <v>1</v>
      </c>
      <c r="H78" s="97">
        <v>0</v>
      </c>
      <c r="I78" s="100">
        <f t="shared" si="7"/>
        <v>1</v>
      </c>
      <c r="J78" s="104"/>
      <c r="K78" s="98"/>
    </row>
    <row r="79" spans="1:11">
      <c r="A79" s="105" t="s">
        <v>213</v>
      </c>
      <c r="B79" s="106" t="s">
        <v>214</v>
      </c>
      <c r="C79" s="236">
        <f>+Medici_2024!E79</f>
        <v>0</v>
      </c>
      <c r="D79" s="108"/>
      <c r="E79" s="237">
        <f t="shared" si="6"/>
        <v>0</v>
      </c>
      <c r="F79" s="238"/>
      <c r="G79" s="111"/>
      <c r="H79" s="108"/>
      <c r="I79" s="112">
        <f t="shared" si="7"/>
        <v>0</v>
      </c>
      <c r="J79" s="239"/>
      <c r="K79" s="110"/>
    </row>
    <row r="80" spans="1:11">
      <c r="C80" s="117"/>
      <c r="D80" s="117"/>
      <c r="E80" s="117"/>
      <c r="F80" s="117"/>
      <c r="G80" s="118"/>
      <c r="H80" s="117"/>
      <c r="I80" s="117"/>
      <c r="J80" s="117"/>
      <c r="K80" s="117"/>
    </row>
    <row r="81" spans="1:15" ht="45.6" customHeight="1">
      <c r="A81" s="371" t="s">
        <v>215</v>
      </c>
      <c r="B81" s="371"/>
      <c r="C81" s="371"/>
      <c r="D81" s="371"/>
      <c r="E81" s="371"/>
      <c r="F81" s="371"/>
      <c r="G81" s="371"/>
      <c r="H81" s="371"/>
      <c r="I81" s="371"/>
      <c r="J81" s="371"/>
      <c r="K81" s="371"/>
      <c r="L81" s="240"/>
      <c r="M81" s="104"/>
      <c r="N81" s="92"/>
      <c r="O81" s="27"/>
    </row>
    <row r="82" spans="1:15" s="117" customFormat="1" ht="22.15" customHeight="1">
      <c r="A82" s="119"/>
      <c r="B82" s="119"/>
      <c r="C82" s="119"/>
      <c r="D82" s="119"/>
      <c r="E82" s="119"/>
      <c r="F82" s="119"/>
      <c r="G82" s="119"/>
      <c r="H82" s="119"/>
      <c r="I82" s="104"/>
      <c r="J82" s="104"/>
      <c r="K82" s="104"/>
      <c r="L82" s="104"/>
      <c r="M82" s="104"/>
      <c r="N82" s="92"/>
      <c r="O82" s="27"/>
    </row>
    <row r="83" spans="1:15" s="117" customFormat="1" ht="21" customHeight="1">
      <c r="A83" s="364" t="s">
        <v>216</v>
      </c>
      <c r="B83" s="364"/>
      <c r="C83" s="364"/>
      <c r="D83" s="364"/>
      <c r="E83" s="364"/>
      <c r="F83" s="120">
        <f>+SUM(F10:F79)+SUM('Altri profili_2025_'!F7:F79)</f>
        <v>166956</v>
      </c>
      <c r="G83" s="119"/>
      <c r="H83" s="119"/>
      <c r="I83" s="92"/>
      <c r="J83" s="92"/>
      <c r="K83" s="92"/>
      <c r="L83" s="104"/>
      <c r="M83" s="104"/>
      <c r="N83" s="92"/>
      <c r="O83" s="27"/>
    </row>
    <row r="84" spans="1:15">
      <c r="A84" s="121"/>
      <c r="B84" s="122"/>
      <c r="C84" s="92"/>
      <c r="D84" s="123"/>
      <c r="E84" s="92"/>
      <c r="F84" s="92"/>
      <c r="G84" s="92"/>
      <c r="H84" s="92"/>
      <c r="I84" s="92"/>
      <c r="J84" s="92"/>
      <c r="K84" s="92"/>
      <c r="L84" s="104"/>
      <c r="M84" s="104"/>
      <c r="N84" s="92"/>
      <c r="O84" s="27"/>
    </row>
    <row r="85" spans="1:15" ht="21" customHeight="1">
      <c r="A85" s="365" t="s">
        <v>217</v>
      </c>
      <c r="B85" s="365"/>
      <c r="C85" s="365"/>
      <c r="D85" s="365"/>
      <c r="E85" s="365"/>
      <c r="F85" s="124">
        <v>10329.645110410094</v>
      </c>
      <c r="G85" s="125" t="s">
        <v>218</v>
      </c>
      <c r="H85" s="126"/>
      <c r="J85" s="127"/>
      <c r="K85" s="123"/>
    </row>
    <row r="86" spans="1:15" ht="21" customHeight="1">
      <c r="A86" s="365" t="s">
        <v>220</v>
      </c>
      <c r="B86" s="365"/>
      <c r="C86" s="365"/>
      <c r="D86" s="365"/>
      <c r="E86" s="365"/>
      <c r="F86" s="124">
        <v>314.5</v>
      </c>
      <c r="G86" s="128" t="s">
        <v>218</v>
      </c>
      <c r="H86" s="126"/>
      <c r="J86" s="127"/>
      <c r="K86" s="123"/>
    </row>
    <row r="87" spans="1:15" ht="21" customHeight="1">
      <c r="A87" s="367" t="s">
        <v>221</v>
      </c>
      <c r="B87" s="367"/>
      <c r="C87" s="367"/>
      <c r="D87" s="367"/>
      <c r="E87" s="367"/>
      <c r="F87" s="124">
        <v>3131.4</v>
      </c>
      <c r="G87" s="128" t="s">
        <v>222</v>
      </c>
      <c r="H87" s="126"/>
      <c r="J87" s="127"/>
      <c r="K87" s="123"/>
    </row>
    <row r="88" spans="1:15" ht="21" customHeight="1">
      <c r="A88" s="367" t="s">
        <v>223</v>
      </c>
      <c r="B88" s="367"/>
      <c r="C88" s="367"/>
      <c r="D88" s="367"/>
      <c r="E88" s="367"/>
      <c r="F88" s="124"/>
      <c r="G88" s="128" t="s">
        <v>222</v>
      </c>
      <c r="H88" s="126"/>
      <c r="J88" s="127"/>
      <c r="K88" s="123"/>
    </row>
    <row r="89" spans="1:15" ht="21" customHeight="1">
      <c r="A89" s="367" t="s">
        <v>224</v>
      </c>
      <c r="B89" s="367"/>
      <c r="C89" s="367"/>
      <c r="D89" s="367"/>
      <c r="E89" s="367"/>
      <c r="F89" s="124"/>
      <c r="G89" s="129" t="s">
        <v>222</v>
      </c>
      <c r="H89" s="126"/>
      <c r="J89" s="127"/>
      <c r="K89" s="123"/>
    </row>
    <row r="90" spans="1:15" ht="21" customHeight="1">
      <c r="A90" s="367" t="s">
        <v>225</v>
      </c>
      <c r="B90" s="367"/>
      <c r="C90" s="367"/>
      <c r="D90" s="367"/>
      <c r="E90" s="367"/>
      <c r="F90" s="124">
        <v>27131.4</v>
      </c>
      <c r="G90" s="129" t="s">
        <v>222</v>
      </c>
      <c r="H90" s="126"/>
      <c r="J90" s="127"/>
      <c r="K90" s="123"/>
    </row>
    <row r="91" spans="1:15">
      <c r="A91" s="123"/>
      <c r="B91" s="123"/>
      <c r="C91" s="123"/>
      <c r="D91" s="123"/>
      <c r="E91" s="123"/>
      <c r="F91" s="123"/>
      <c r="G91" s="127"/>
      <c r="H91" s="127"/>
      <c r="J91" s="127"/>
      <c r="K91" s="123"/>
    </row>
    <row r="92" spans="1:15" ht="21" customHeight="1">
      <c r="A92" s="361" t="s">
        <v>226</v>
      </c>
      <c r="B92" s="361"/>
      <c r="C92" s="361"/>
      <c r="D92" s="361"/>
      <c r="E92" s="361"/>
      <c r="F92" s="130">
        <f>+F83+F85+F86-F87-F88-F89-F90</f>
        <v>147337.3451104101</v>
      </c>
      <c r="G92" s="362" t="s">
        <v>227</v>
      </c>
      <c r="H92" s="362"/>
      <c r="J92" s="127"/>
      <c r="K92" s="123"/>
    </row>
    <row r="93" spans="1:15" ht="21" customHeight="1">
      <c r="A93" s="132"/>
      <c r="B93" s="132"/>
      <c r="C93" s="132"/>
      <c r="D93" s="132"/>
      <c r="E93" s="132"/>
      <c r="F93" s="133"/>
      <c r="G93" s="134"/>
      <c r="H93" s="134"/>
      <c r="I93" s="123"/>
      <c r="J93" s="123"/>
      <c r="K93" s="123"/>
      <c r="L93" s="123"/>
    </row>
    <row r="94" spans="1:15" ht="21" customHeight="1">
      <c r="A94" s="363" t="s">
        <v>228</v>
      </c>
      <c r="B94" s="363"/>
      <c r="C94" s="363"/>
      <c r="D94" s="363"/>
      <c r="E94" s="363"/>
      <c r="F94" s="135">
        <f>+Medici_2024!J92-F92</f>
        <v>9813.6548895899032</v>
      </c>
      <c r="G94" s="134"/>
      <c r="H94" s="134"/>
      <c r="I94" s="123"/>
      <c r="J94" s="123"/>
      <c r="K94" s="123"/>
      <c r="L94" s="123"/>
    </row>
    <row r="95" spans="1:15">
      <c r="A95" s="123"/>
      <c r="B95" s="123"/>
      <c r="C95" s="123"/>
      <c r="D95" s="123"/>
      <c r="E95" s="123"/>
      <c r="F95" s="127"/>
      <c r="G95" s="127"/>
      <c r="H95" s="127"/>
      <c r="I95" s="127"/>
      <c r="J95" s="136"/>
      <c r="K95" s="123"/>
      <c r="O95" s="27"/>
    </row>
    <row r="96" spans="1:15" ht="45.6" customHeight="1">
      <c r="A96" s="376" t="s">
        <v>229</v>
      </c>
      <c r="B96" s="376"/>
      <c r="C96" s="376"/>
      <c r="D96" s="376"/>
      <c r="E96" s="376"/>
      <c r="F96" s="376"/>
      <c r="G96" s="376"/>
      <c r="H96" s="376"/>
      <c r="I96" s="376"/>
      <c r="J96" s="376"/>
      <c r="K96" s="376"/>
      <c r="L96" s="241"/>
      <c r="O96" s="27"/>
    </row>
    <row r="97" spans="1:15">
      <c r="A97" s="137"/>
      <c r="B97" s="137"/>
      <c r="C97" s="137"/>
      <c r="D97" s="137"/>
      <c r="E97" s="137"/>
      <c r="F97" s="137"/>
      <c r="G97" s="137"/>
      <c r="H97" s="137"/>
      <c r="I97" s="123"/>
      <c r="J97" s="136"/>
      <c r="K97" s="123"/>
      <c r="O97" s="27"/>
    </row>
  </sheetData>
  <mergeCells count="16">
    <mergeCell ref="A4:B4"/>
    <mergeCell ref="A5:B5"/>
    <mergeCell ref="A7:B7"/>
    <mergeCell ref="A9:B9"/>
    <mergeCell ref="A81:K81"/>
    <mergeCell ref="A92:E92"/>
    <mergeCell ref="G92:H92"/>
    <mergeCell ref="A94:E94"/>
    <mergeCell ref="A96:K96"/>
    <mergeCell ref="A83:E83"/>
    <mergeCell ref="A85:E85"/>
    <mergeCell ref="A86:E86"/>
    <mergeCell ref="A87:E87"/>
    <mergeCell ref="A88:E88"/>
    <mergeCell ref="A89:E89"/>
    <mergeCell ref="A90:E90"/>
  </mergeCells>
  <conditionalFormatting sqref="G10:I79">
    <cfRule type="cellIs" dxfId="39" priority="2" operator="lessThan">
      <formula>0</formula>
    </cfRule>
  </conditionalFormatting>
  <conditionalFormatting sqref="H10:I79">
    <cfRule type="cellIs" dxfId="38" priority="3" operator="greaterThan">
      <formula>$G$7</formula>
    </cfRule>
  </conditionalFormatting>
  <conditionalFormatting sqref="G7:I9">
    <cfRule type="cellIs" dxfId="37" priority="4" operator="lessThan">
      <formula>0</formula>
    </cfRule>
  </conditionalFormatting>
  <conditionalFormatting sqref="H7:I9">
    <cfRule type="cellIs" dxfId="36" priority="5" operator="greaterThan">
      <formula>$G$7</formula>
    </cfRule>
  </conditionalFormatting>
  <pageMargins left="0.23611111111111099" right="0.23611111111111099" top="0.74791666666666701" bottom="0.74791666666666701" header="0.51180555555555496" footer="0.31527777777777799"/>
  <pageSetup paperSize="8" scale="46" firstPageNumber="0" orientation="landscape" r:id="rId1"/>
  <headerFooter>
    <oddFooter>&amp;R&amp;"Arial,Normale"&amp;10&amp;A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G80"/>
  <sheetViews>
    <sheetView showGridLines="0" topLeftCell="A28" zoomScale="110" zoomScaleNormal="110" zoomScalePageLayoutView="85" workbookViewId="0">
      <selection activeCell="B59" sqref="B59"/>
    </sheetView>
  </sheetViews>
  <sheetFormatPr defaultColWidth="9.140625" defaultRowHeight="15"/>
  <cols>
    <col min="1" max="1" width="10.28515625" style="25" customWidth="1"/>
    <col min="2" max="2" width="49.5703125" style="25" customWidth="1"/>
    <col min="3" max="6" width="12.42578125" style="25" customWidth="1"/>
    <col min="7" max="7" width="12.42578125" style="26" customWidth="1"/>
    <col min="8" max="9" width="18" style="25" customWidth="1"/>
    <col min="10" max="10" width="0.7109375" style="25" customWidth="1"/>
    <col min="11" max="11" width="37.7109375" style="25" customWidth="1"/>
    <col min="12" max="12" width="1.85546875" style="27" customWidth="1"/>
    <col min="13" max="17" width="9.140625" style="25"/>
    <col min="18" max="18" width="9.140625" style="25" hidden="1"/>
    <col min="19" max="1021" width="9.140625" style="25"/>
  </cols>
  <sheetData>
    <row r="1" spans="1:18">
      <c r="A1" s="28" t="s">
        <v>50</v>
      </c>
      <c r="B1" s="29" t="str">
        <f>+Copertina!F20</f>
        <v xml:space="preserve">AO Civico </v>
      </c>
      <c r="C1" s="26"/>
      <c r="D1" s="26"/>
      <c r="E1" s="26"/>
      <c r="F1" s="26"/>
      <c r="G1" s="30"/>
    </row>
    <row r="2" spans="1:18" s="25" customFormat="1" ht="15" customHeight="1">
      <c r="A2" s="31" t="str">
        <f>"Piano del Fabbisogno 2025 "&amp;B1</f>
        <v xml:space="preserve">Piano del Fabbisogno 2025 AO Civico </v>
      </c>
      <c r="B2" s="32"/>
      <c r="C2" s="33"/>
      <c r="D2" s="33"/>
      <c r="E2" s="33"/>
      <c r="F2" s="33"/>
      <c r="G2" s="33"/>
      <c r="H2" s="32"/>
      <c r="I2" s="32"/>
      <c r="J2" s="33"/>
      <c r="K2" s="34"/>
    </row>
    <row r="3" spans="1:18" s="25" customFormat="1" ht="16.5" customHeight="1">
      <c r="A3" s="222" t="s">
        <v>234</v>
      </c>
      <c r="B3" s="39"/>
      <c r="C3" s="39"/>
      <c r="D3" s="39"/>
      <c r="E3" s="39"/>
      <c r="F3" s="39"/>
      <c r="G3" s="39"/>
      <c r="H3" s="39"/>
      <c r="I3" s="39"/>
      <c r="J3" s="223"/>
      <c r="K3" s="224"/>
    </row>
    <row r="4" spans="1:18" s="25" customFormat="1" ht="87.75" customHeight="1">
      <c r="A4" s="379" t="s">
        <v>235</v>
      </c>
      <c r="B4" s="379"/>
      <c r="C4" s="225" t="s">
        <v>439</v>
      </c>
      <c r="D4" s="41" t="s">
        <v>435</v>
      </c>
      <c r="E4" s="41" t="s">
        <v>436</v>
      </c>
      <c r="F4" s="42" t="s">
        <v>53</v>
      </c>
      <c r="G4" s="242" t="s">
        <v>55</v>
      </c>
      <c r="H4" s="243" t="s">
        <v>56</v>
      </c>
      <c r="I4" s="244" t="s">
        <v>57</v>
      </c>
      <c r="J4" s="245"/>
      <c r="K4" s="246" t="s">
        <v>61</v>
      </c>
    </row>
    <row r="5" spans="1:18" ht="22.5" customHeight="1">
      <c r="A5" s="377"/>
      <c r="B5" s="377"/>
      <c r="C5" s="40" t="s">
        <v>62</v>
      </c>
      <c r="D5" s="50" t="s">
        <v>63</v>
      </c>
      <c r="E5" s="50" t="s">
        <v>64</v>
      </c>
      <c r="F5" s="42" t="s">
        <v>65</v>
      </c>
      <c r="G5" s="51" t="s">
        <v>67</v>
      </c>
      <c r="H5" s="52" t="s">
        <v>68</v>
      </c>
      <c r="I5" s="53" t="s">
        <v>69</v>
      </c>
      <c r="J5" s="58"/>
      <c r="K5" s="55"/>
    </row>
    <row r="6" spans="1:18" ht="15" customHeight="1" thickBot="1">
      <c r="A6" s="370" t="s">
        <v>241</v>
      </c>
      <c r="B6" s="370"/>
      <c r="C6" s="62">
        <f t="shared" ref="C6:I6" si="0">+SUM(C7:C79)</f>
        <v>2010</v>
      </c>
      <c r="D6" s="63">
        <f t="shared" si="0"/>
        <v>186</v>
      </c>
      <c r="E6" s="63">
        <f t="shared" si="0"/>
        <v>2196</v>
      </c>
      <c r="F6" s="150">
        <f t="shared" si="0"/>
        <v>96559</v>
      </c>
      <c r="G6" s="62">
        <f t="shared" si="0"/>
        <v>101</v>
      </c>
      <c r="H6" s="63">
        <f t="shared" si="0"/>
        <v>28</v>
      </c>
      <c r="I6" s="150">
        <f t="shared" si="0"/>
        <v>73</v>
      </c>
      <c r="J6" s="77"/>
      <c r="K6" s="68"/>
      <c r="L6" s="79"/>
    </row>
    <row r="7" spans="1:18" s="93" customFormat="1" ht="11.25">
      <c r="A7" s="153" t="s">
        <v>242</v>
      </c>
      <c r="B7" s="154" t="s">
        <v>243</v>
      </c>
      <c r="C7" s="230">
        <f>+'Altri profili_2024_'!E7</f>
        <v>1145</v>
      </c>
      <c r="D7" s="83">
        <v>150</v>
      </c>
      <c r="E7" s="231">
        <f t="shared" ref="E7:E38" si="1">+D7+C7</f>
        <v>1295</v>
      </c>
      <c r="F7" s="247">
        <f>45*E7</f>
        <v>58275</v>
      </c>
      <c r="G7" s="86">
        <v>50</v>
      </c>
      <c r="H7" s="83">
        <v>25</v>
      </c>
      <c r="I7" s="87">
        <f t="shared" ref="I7:I38" si="2">+G7-H7</f>
        <v>25</v>
      </c>
      <c r="J7" s="88"/>
      <c r="K7" s="248"/>
      <c r="L7" s="92"/>
      <c r="R7" s="249" t="s">
        <v>243</v>
      </c>
    </row>
    <row r="8" spans="1:18" s="93" customFormat="1" ht="11.25">
      <c r="A8" s="164" t="s">
        <v>244</v>
      </c>
      <c r="B8" s="165" t="s">
        <v>245</v>
      </c>
      <c r="C8" s="233">
        <f>+'Altri profili_2024_'!E8</f>
        <v>0</v>
      </c>
      <c r="D8" s="97"/>
      <c r="E8" s="234">
        <f t="shared" si="1"/>
        <v>0</v>
      </c>
      <c r="F8" s="235"/>
      <c r="G8" s="99"/>
      <c r="H8" s="97"/>
      <c r="I8" s="100">
        <f t="shared" si="2"/>
        <v>0</v>
      </c>
      <c r="J8" s="104"/>
      <c r="K8" s="98"/>
      <c r="L8" s="92"/>
      <c r="R8" s="249" t="s">
        <v>243</v>
      </c>
    </row>
    <row r="9" spans="1:18" s="93" customFormat="1" ht="11.25">
      <c r="A9" s="164" t="s">
        <v>246</v>
      </c>
      <c r="B9" s="165" t="s">
        <v>247</v>
      </c>
      <c r="C9" s="233">
        <f>+'Altri profili_2024_'!E9</f>
        <v>0</v>
      </c>
      <c r="D9" s="97"/>
      <c r="E9" s="234">
        <f t="shared" si="1"/>
        <v>0</v>
      </c>
      <c r="F9" s="235"/>
      <c r="G9" s="99"/>
      <c r="H9" s="97"/>
      <c r="I9" s="100">
        <f t="shared" si="2"/>
        <v>0</v>
      </c>
      <c r="J9" s="104"/>
      <c r="K9" s="98"/>
      <c r="L9" s="92"/>
      <c r="R9" s="249" t="s">
        <v>243</v>
      </c>
    </row>
    <row r="10" spans="1:18" s="93" customFormat="1" ht="12" thickBot="1">
      <c r="A10" s="164" t="s">
        <v>248</v>
      </c>
      <c r="B10" s="165" t="s">
        <v>249</v>
      </c>
      <c r="C10" s="233">
        <f>+'Altri profili_2024_'!E10</f>
        <v>0</v>
      </c>
      <c r="D10" s="97"/>
      <c r="E10" s="234">
        <f t="shared" si="1"/>
        <v>0</v>
      </c>
      <c r="F10" s="235"/>
      <c r="G10" s="99"/>
      <c r="H10" s="97"/>
      <c r="I10" s="100">
        <f t="shared" si="2"/>
        <v>0</v>
      </c>
      <c r="J10" s="88"/>
      <c r="K10" s="98"/>
      <c r="L10" s="92"/>
      <c r="R10" s="249" t="s">
        <v>243</v>
      </c>
    </row>
    <row r="11" spans="1:18" s="93" customFormat="1" ht="11.25">
      <c r="A11" s="164" t="s">
        <v>250</v>
      </c>
      <c r="B11" s="165" t="s">
        <v>251</v>
      </c>
      <c r="C11" s="233">
        <f>+'Altri profili_2024_'!E11</f>
        <v>270</v>
      </c>
      <c r="D11" s="97"/>
      <c r="E11" s="234">
        <f t="shared" si="1"/>
        <v>270</v>
      </c>
      <c r="F11" s="235">
        <f>+E11*36</f>
        <v>9720</v>
      </c>
      <c r="G11" s="86">
        <f>270-E11</f>
        <v>0</v>
      </c>
      <c r="H11" s="97"/>
      <c r="I11" s="100">
        <f t="shared" si="2"/>
        <v>0</v>
      </c>
      <c r="J11" s="88"/>
      <c r="K11" s="98"/>
      <c r="L11" s="92"/>
      <c r="R11" s="249" t="s">
        <v>252</v>
      </c>
    </row>
    <row r="12" spans="1:18" s="93" customFormat="1" ht="11.25">
      <c r="A12" s="164" t="s">
        <v>253</v>
      </c>
      <c r="B12" s="165" t="s">
        <v>254</v>
      </c>
      <c r="C12" s="233">
        <f>+'Altri profili_2024_'!E12</f>
        <v>0</v>
      </c>
      <c r="D12" s="97"/>
      <c r="E12" s="234">
        <f t="shared" si="1"/>
        <v>0</v>
      </c>
      <c r="F12" s="235"/>
      <c r="G12" s="99"/>
      <c r="H12" s="97"/>
      <c r="I12" s="100">
        <f t="shared" si="2"/>
        <v>0</v>
      </c>
      <c r="J12" s="104"/>
      <c r="K12" s="98"/>
      <c r="L12" s="92"/>
      <c r="R12" s="249" t="s">
        <v>252</v>
      </c>
    </row>
    <row r="13" spans="1:18" s="93" customFormat="1" ht="11.25">
      <c r="A13" s="164" t="s">
        <v>255</v>
      </c>
      <c r="B13" s="165" t="s">
        <v>256</v>
      </c>
      <c r="C13" s="233">
        <f>+'Altri profili_2024_'!E13</f>
        <v>15</v>
      </c>
      <c r="D13" s="97"/>
      <c r="E13" s="234">
        <f t="shared" si="1"/>
        <v>15</v>
      </c>
      <c r="F13" s="235">
        <f>+E13*32</f>
        <v>480</v>
      </c>
      <c r="G13" s="99">
        <v>0</v>
      </c>
      <c r="H13" s="97">
        <v>0</v>
      </c>
      <c r="I13" s="100">
        <f t="shared" si="2"/>
        <v>0</v>
      </c>
      <c r="J13" s="104"/>
      <c r="K13" s="98"/>
      <c r="L13" s="92"/>
      <c r="R13" s="249" t="s">
        <v>252</v>
      </c>
    </row>
    <row r="14" spans="1:18" s="93" customFormat="1" ht="11.25">
      <c r="A14" s="164" t="s">
        <v>257</v>
      </c>
      <c r="B14" s="165" t="s">
        <v>258</v>
      </c>
      <c r="C14" s="233">
        <f>+'Altri profili_2024_'!E14</f>
        <v>1</v>
      </c>
      <c r="D14" s="97"/>
      <c r="E14" s="234">
        <f t="shared" si="1"/>
        <v>1</v>
      </c>
      <c r="F14" s="235"/>
      <c r="G14" s="99"/>
      <c r="H14" s="97"/>
      <c r="I14" s="100">
        <f t="shared" si="2"/>
        <v>0</v>
      </c>
      <c r="J14" s="104"/>
      <c r="K14" s="98"/>
      <c r="L14" s="92"/>
      <c r="R14" s="249" t="s">
        <v>259</v>
      </c>
    </row>
    <row r="15" spans="1:18" s="93" customFormat="1" ht="11.25">
      <c r="A15" s="164" t="s">
        <v>260</v>
      </c>
      <c r="B15" s="165" t="s">
        <v>261</v>
      </c>
      <c r="C15" s="233">
        <f>+'Altri profili_2024_'!E15</f>
        <v>0</v>
      </c>
      <c r="D15" s="97"/>
      <c r="E15" s="234">
        <f t="shared" si="1"/>
        <v>0</v>
      </c>
      <c r="F15" s="235"/>
      <c r="G15" s="99"/>
      <c r="H15" s="97"/>
      <c r="I15" s="100">
        <f t="shared" si="2"/>
        <v>0</v>
      </c>
      <c r="J15" s="104"/>
      <c r="K15" s="98"/>
      <c r="L15" s="92"/>
      <c r="R15" s="249" t="s">
        <v>262</v>
      </c>
    </row>
    <row r="16" spans="1:18" s="93" customFormat="1" ht="11.25">
      <c r="A16" s="94" t="s">
        <v>263</v>
      </c>
      <c r="B16" s="171" t="s">
        <v>264</v>
      </c>
      <c r="C16" s="233">
        <f>+'Altri profili_2024_'!E16</f>
        <v>0</v>
      </c>
      <c r="D16" s="97"/>
      <c r="E16" s="234">
        <f t="shared" si="1"/>
        <v>0</v>
      </c>
      <c r="F16" s="235"/>
      <c r="G16" s="99"/>
      <c r="H16" s="97"/>
      <c r="I16" s="100">
        <f t="shared" si="2"/>
        <v>0</v>
      </c>
      <c r="J16" s="104"/>
      <c r="K16" s="98"/>
      <c r="L16" s="92"/>
      <c r="R16" s="249" t="s">
        <v>262</v>
      </c>
    </row>
    <row r="17" spans="1:18" s="93" customFormat="1" ht="11.25">
      <c r="A17" s="94" t="s">
        <v>265</v>
      </c>
      <c r="B17" s="171" t="s">
        <v>266</v>
      </c>
      <c r="C17" s="233">
        <f>+'Altri profili_2024_'!E17</f>
        <v>27</v>
      </c>
      <c r="D17" s="97">
        <v>3</v>
      </c>
      <c r="E17" s="234">
        <f t="shared" si="1"/>
        <v>30</v>
      </c>
      <c r="F17" s="235">
        <f>43*E17</f>
        <v>1290</v>
      </c>
      <c r="G17" s="99">
        <v>3</v>
      </c>
      <c r="H17" s="97">
        <v>0</v>
      </c>
      <c r="I17" s="100">
        <f t="shared" si="2"/>
        <v>3</v>
      </c>
      <c r="J17" s="104"/>
      <c r="K17" s="98"/>
      <c r="L17" s="92"/>
      <c r="R17" s="249" t="s">
        <v>262</v>
      </c>
    </row>
    <row r="18" spans="1:18" s="93" customFormat="1" ht="11.25">
      <c r="A18" s="94" t="s">
        <v>267</v>
      </c>
      <c r="B18" s="171" t="s">
        <v>268</v>
      </c>
      <c r="C18" s="233">
        <f>+'Altri profili_2024_'!E18</f>
        <v>1</v>
      </c>
      <c r="D18" s="97">
        <v>1</v>
      </c>
      <c r="E18" s="234">
        <f t="shared" si="1"/>
        <v>2</v>
      </c>
      <c r="F18" s="235">
        <f>41*E18</f>
        <v>82</v>
      </c>
      <c r="G18" s="99"/>
      <c r="H18" s="97"/>
      <c r="I18" s="100">
        <f t="shared" si="2"/>
        <v>0</v>
      </c>
      <c r="J18" s="104"/>
      <c r="K18" s="98"/>
      <c r="L18" s="92"/>
      <c r="R18" s="249" t="s">
        <v>262</v>
      </c>
    </row>
    <row r="19" spans="1:18" s="93" customFormat="1" ht="11.25">
      <c r="A19" s="94" t="s">
        <v>269</v>
      </c>
      <c r="B19" s="171" t="s">
        <v>270</v>
      </c>
      <c r="C19" s="233">
        <f>+'Altri profili_2024_'!E19</f>
        <v>0</v>
      </c>
      <c r="D19" s="97"/>
      <c r="E19" s="234">
        <f t="shared" si="1"/>
        <v>0</v>
      </c>
      <c r="F19" s="235"/>
      <c r="G19" s="99"/>
      <c r="H19" s="97"/>
      <c r="I19" s="100">
        <f t="shared" si="2"/>
        <v>0</v>
      </c>
      <c r="J19" s="104"/>
      <c r="K19" s="98"/>
      <c r="L19" s="92"/>
      <c r="R19" s="249" t="s">
        <v>262</v>
      </c>
    </row>
    <row r="20" spans="1:18" s="93" customFormat="1" ht="11.25">
      <c r="A20" s="94" t="s">
        <v>271</v>
      </c>
      <c r="B20" s="171" t="s">
        <v>272</v>
      </c>
      <c r="C20" s="233">
        <f>+'Altri profili_2024_'!E20</f>
        <v>0</v>
      </c>
      <c r="D20" s="97"/>
      <c r="E20" s="234">
        <f t="shared" si="1"/>
        <v>0</v>
      </c>
      <c r="F20" s="235"/>
      <c r="G20" s="99"/>
      <c r="H20" s="97"/>
      <c r="I20" s="100">
        <f t="shared" si="2"/>
        <v>0</v>
      </c>
      <c r="J20" s="104"/>
      <c r="K20" s="98"/>
      <c r="L20" s="92"/>
      <c r="R20" s="249" t="s">
        <v>262</v>
      </c>
    </row>
    <row r="21" spans="1:18" s="93" customFormat="1" ht="11.25">
      <c r="A21" s="94" t="s">
        <v>273</v>
      </c>
      <c r="B21" s="171" t="s">
        <v>274</v>
      </c>
      <c r="C21" s="233">
        <f>+'Altri profili_2024_'!E21</f>
        <v>1</v>
      </c>
      <c r="D21" s="97"/>
      <c r="E21" s="234">
        <f t="shared" si="1"/>
        <v>1</v>
      </c>
      <c r="F21" s="235">
        <f>43*E21</f>
        <v>43</v>
      </c>
      <c r="G21" s="99">
        <v>0</v>
      </c>
      <c r="H21" s="97">
        <v>0</v>
      </c>
      <c r="I21" s="100">
        <f t="shared" si="2"/>
        <v>0</v>
      </c>
      <c r="J21" s="104"/>
      <c r="K21" s="98"/>
      <c r="L21" s="92"/>
      <c r="R21" s="249" t="s">
        <v>262</v>
      </c>
    </row>
    <row r="22" spans="1:18" s="93" customFormat="1" ht="11.25">
      <c r="A22" s="94" t="s">
        <v>275</v>
      </c>
      <c r="B22" s="171" t="s">
        <v>276</v>
      </c>
      <c r="C22" s="233">
        <f>+'Altri profili_2024_'!E22</f>
        <v>1</v>
      </c>
      <c r="D22" s="97"/>
      <c r="E22" s="234">
        <f t="shared" si="1"/>
        <v>1</v>
      </c>
      <c r="F22" s="235">
        <f>37*E22</f>
        <v>37</v>
      </c>
      <c r="G22" s="99">
        <v>0</v>
      </c>
      <c r="H22" s="97">
        <v>0</v>
      </c>
      <c r="I22" s="100">
        <f t="shared" si="2"/>
        <v>0</v>
      </c>
      <c r="J22" s="104"/>
      <c r="K22" s="98"/>
      <c r="L22" s="92"/>
      <c r="R22" s="249" t="s">
        <v>262</v>
      </c>
    </row>
    <row r="23" spans="1:18" s="93" customFormat="1" ht="11.25">
      <c r="A23" s="94" t="s">
        <v>277</v>
      </c>
      <c r="B23" s="171" t="s">
        <v>278</v>
      </c>
      <c r="C23" s="233">
        <f>+'Altri profili_2024_'!E23</f>
        <v>0</v>
      </c>
      <c r="D23" s="97"/>
      <c r="E23" s="234">
        <f t="shared" si="1"/>
        <v>0</v>
      </c>
      <c r="F23" s="235"/>
      <c r="G23" s="99"/>
      <c r="H23" s="97"/>
      <c r="I23" s="100">
        <f t="shared" si="2"/>
        <v>0</v>
      </c>
      <c r="J23" s="104"/>
      <c r="K23" s="98"/>
      <c r="L23" s="92"/>
      <c r="R23" s="249" t="s">
        <v>262</v>
      </c>
    </row>
    <row r="24" spans="1:18" s="93" customFormat="1" ht="11.25">
      <c r="A24" s="94" t="s">
        <v>279</v>
      </c>
      <c r="B24" s="171" t="s">
        <v>280</v>
      </c>
      <c r="C24" s="233">
        <f>+'Altri profili_2024_'!E24</f>
        <v>0</v>
      </c>
      <c r="D24" s="97"/>
      <c r="E24" s="234">
        <f t="shared" si="1"/>
        <v>0</v>
      </c>
      <c r="F24" s="235"/>
      <c r="G24" s="99"/>
      <c r="H24" s="97"/>
      <c r="I24" s="100">
        <f t="shared" si="2"/>
        <v>0</v>
      </c>
      <c r="J24" s="104"/>
      <c r="K24" s="98"/>
      <c r="L24" s="92"/>
      <c r="R24" s="249" t="s">
        <v>262</v>
      </c>
    </row>
    <row r="25" spans="1:18" s="93" customFormat="1" ht="11.25">
      <c r="A25" s="94" t="s">
        <v>281</v>
      </c>
      <c r="B25" s="165" t="s">
        <v>282</v>
      </c>
      <c r="C25" s="233">
        <f>+'Altri profili_2024_'!E25</f>
        <v>0</v>
      </c>
      <c r="D25" s="97"/>
      <c r="E25" s="234">
        <f t="shared" si="1"/>
        <v>0</v>
      </c>
      <c r="F25" s="235"/>
      <c r="G25" s="99"/>
      <c r="H25" s="97"/>
      <c r="I25" s="100">
        <f t="shared" si="2"/>
        <v>0</v>
      </c>
      <c r="J25" s="104"/>
      <c r="K25" s="98"/>
      <c r="L25" s="92"/>
      <c r="R25" s="249" t="s">
        <v>262</v>
      </c>
    </row>
    <row r="26" spans="1:18" s="93" customFormat="1" ht="11.25">
      <c r="A26" s="94" t="s">
        <v>283</v>
      </c>
      <c r="B26" s="171" t="s">
        <v>284</v>
      </c>
      <c r="C26" s="233">
        <f>+'Altri profili_2024_'!E26</f>
        <v>2</v>
      </c>
      <c r="D26" s="97"/>
      <c r="E26" s="234">
        <f t="shared" si="1"/>
        <v>2</v>
      </c>
      <c r="F26" s="235">
        <f>45*E26</f>
        <v>90</v>
      </c>
      <c r="G26" s="99">
        <v>0</v>
      </c>
      <c r="H26" s="97">
        <v>0</v>
      </c>
      <c r="I26" s="100">
        <f t="shared" si="2"/>
        <v>0</v>
      </c>
      <c r="J26" s="104"/>
      <c r="K26" s="98"/>
      <c r="L26" s="92"/>
      <c r="R26" s="249" t="s">
        <v>259</v>
      </c>
    </row>
    <row r="27" spans="1:18" s="93" customFormat="1" ht="11.25">
      <c r="A27" s="94" t="s">
        <v>285</v>
      </c>
      <c r="B27" s="171" t="s">
        <v>286</v>
      </c>
      <c r="C27" s="233">
        <f>+'Altri profili_2024_'!E27</f>
        <v>0</v>
      </c>
      <c r="D27" s="97"/>
      <c r="E27" s="234">
        <f t="shared" si="1"/>
        <v>0</v>
      </c>
      <c r="F27" s="235"/>
      <c r="G27" s="99"/>
      <c r="H27" s="97"/>
      <c r="I27" s="100">
        <f t="shared" si="2"/>
        <v>0</v>
      </c>
      <c r="J27" s="104"/>
      <c r="K27" s="98"/>
      <c r="L27" s="92"/>
      <c r="R27" s="249" t="s">
        <v>259</v>
      </c>
    </row>
    <row r="28" spans="1:18" s="93" customFormat="1" ht="11.25">
      <c r="A28" s="94" t="s">
        <v>287</v>
      </c>
      <c r="B28" s="171" t="s">
        <v>288</v>
      </c>
      <c r="C28" s="233">
        <f>+'Altri profili_2024_'!E28</f>
        <v>1</v>
      </c>
      <c r="D28" s="97">
        <v>1</v>
      </c>
      <c r="E28" s="234">
        <f t="shared" si="1"/>
        <v>2</v>
      </c>
      <c r="F28" s="235">
        <f>45*E28</f>
        <v>90</v>
      </c>
      <c r="G28" s="99"/>
      <c r="H28" s="97"/>
      <c r="I28" s="100">
        <f t="shared" si="2"/>
        <v>0</v>
      </c>
      <c r="J28" s="104"/>
      <c r="K28" s="98"/>
      <c r="L28" s="92"/>
      <c r="R28" s="249" t="s">
        <v>259</v>
      </c>
    </row>
    <row r="29" spans="1:18" s="93" customFormat="1" ht="11.25">
      <c r="A29" s="94" t="s">
        <v>289</v>
      </c>
      <c r="B29" s="171" t="s">
        <v>290</v>
      </c>
      <c r="C29" s="233">
        <f>+'Altri profili_2024_'!E29</f>
        <v>0</v>
      </c>
      <c r="D29" s="97"/>
      <c r="E29" s="234">
        <f t="shared" si="1"/>
        <v>0</v>
      </c>
      <c r="F29" s="235"/>
      <c r="G29" s="99"/>
      <c r="H29" s="97"/>
      <c r="I29" s="100">
        <f t="shared" si="2"/>
        <v>0</v>
      </c>
      <c r="J29" s="104"/>
      <c r="K29" s="98"/>
      <c r="L29" s="92"/>
      <c r="R29" s="249" t="s">
        <v>259</v>
      </c>
    </row>
    <row r="30" spans="1:18" s="93" customFormat="1" ht="11.25">
      <c r="A30" s="94" t="s">
        <v>291</v>
      </c>
      <c r="B30" s="171" t="s">
        <v>292</v>
      </c>
      <c r="C30" s="233">
        <f>+'Altri profili_2024_'!E30</f>
        <v>19</v>
      </c>
      <c r="D30" s="97"/>
      <c r="E30" s="234">
        <f t="shared" si="1"/>
        <v>19</v>
      </c>
      <c r="F30" s="235">
        <f>43*E30</f>
        <v>817</v>
      </c>
      <c r="G30" s="99">
        <v>0</v>
      </c>
      <c r="H30" s="97">
        <v>0</v>
      </c>
      <c r="I30" s="100">
        <f t="shared" si="2"/>
        <v>0</v>
      </c>
      <c r="J30" s="104"/>
      <c r="K30" s="98"/>
      <c r="L30" s="92"/>
      <c r="R30" s="249" t="s">
        <v>259</v>
      </c>
    </row>
    <row r="31" spans="1:18" s="93" customFormat="1" ht="11.25">
      <c r="A31" s="94" t="s">
        <v>293</v>
      </c>
      <c r="B31" s="171" t="s">
        <v>294</v>
      </c>
      <c r="C31" s="233">
        <f>+'Altri profili_2024_'!E31</f>
        <v>8</v>
      </c>
      <c r="D31" s="97"/>
      <c r="E31" s="234">
        <f t="shared" si="1"/>
        <v>8</v>
      </c>
      <c r="F31" s="235">
        <f>43*E31</f>
        <v>344</v>
      </c>
      <c r="G31" s="99">
        <v>0</v>
      </c>
      <c r="H31" s="97">
        <v>0</v>
      </c>
      <c r="I31" s="100">
        <f t="shared" si="2"/>
        <v>0</v>
      </c>
      <c r="J31" s="104"/>
      <c r="K31" s="98"/>
      <c r="L31" s="92"/>
      <c r="R31" s="249" t="s">
        <v>259</v>
      </c>
    </row>
    <row r="32" spans="1:18" s="93" customFormat="1" ht="11.25">
      <c r="A32" s="94" t="s">
        <v>295</v>
      </c>
      <c r="B32" s="171" t="s">
        <v>296</v>
      </c>
      <c r="C32" s="233">
        <f>+'Altri profili_2024_'!E32</f>
        <v>100</v>
      </c>
      <c r="D32" s="97"/>
      <c r="E32" s="234">
        <f t="shared" si="1"/>
        <v>100</v>
      </c>
      <c r="F32" s="235">
        <f>42*E32</f>
        <v>4200</v>
      </c>
      <c r="G32" s="99"/>
      <c r="H32" s="97"/>
      <c r="I32" s="100">
        <f t="shared" si="2"/>
        <v>0</v>
      </c>
      <c r="J32" s="104"/>
      <c r="K32" s="98"/>
      <c r="L32" s="92"/>
      <c r="R32" s="249" t="s">
        <v>259</v>
      </c>
    </row>
    <row r="33" spans="1:18" s="93" customFormat="1" ht="11.25">
      <c r="A33" s="94" t="s">
        <v>297</v>
      </c>
      <c r="B33" s="171" t="s">
        <v>298</v>
      </c>
      <c r="C33" s="233">
        <f>+'Altri profili_2024_'!E33</f>
        <v>80</v>
      </c>
      <c r="D33" s="97"/>
      <c r="E33" s="234">
        <f t="shared" si="1"/>
        <v>80</v>
      </c>
      <c r="F33" s="235">
        <f>42*E33</f>
        <v>3360</v>
      </c>
      <c r="G33" s="99"/>
      <c r="H33" s="97"/>
      <c r="I33" s="100">
        <f t="shared" si="2"/>
        <v>0</v>
      </c>
      <c r="J33" s="104"/>
      <c r="K33" s="98"/>
      <c r="L33" s="92"/>
      <c r="R33" s="249" t="s">
        <v>259</v>
      </c>
    </row>
    <row r="34" spans="1:18" s="93" customFormat="1" ht="11.25">
      <c r="A34" s="94" t="s">
        <v>299</v>
      </c>
      <c r="B34" s="171" t="s">
        <v>300</v>
      </c>
      <c r="C34" s="233">
        <f>+'Altri profili_2024_'!E34</f>
        <v>10</v>
      </c>
      <c r="D34" s="97"/>
      <c r="E34" s="234">
        <f t="shared" si="1"/>
        <v>10</v>
      </c>
      <c r="F34" s="235">
        <f>42*E34</f>
        <v>420</v>
      </c>
      <c r="G34" s="99">
        <v>0</v>
      </c>
      <c r="H34" s="97">
        <v>0</v>
      </c>
      <c r="I34" s="100">
        <f t="shared" si="2"/>
        <v>0</v>
      </c>
      <c r="J34" s="104"/>
      <c r="K34" s="98"/>
      <c r="L34" s="92"/>
      <c r="R34" s="249" t="s">
        <v>259</v>
      </c>
    </row>
    <row r="35" spans="1:18" s="93" customFormat="1" ht="11.25">
      <c r="A35" s="94" t="s">
        <v>301</v>
      </c>
      <c r="B35" s="171" t="s">
        <v>302</v>
      </c>
      <c r="C35" s="233">
        <f>+'Altri profili_2024_'!E35</f>
        <v>1</v>
      </c>
      <c r="D35" s="97"/>
      <c r="E35" s="234">
        <f t="shared" si="1"/>
        <v>1</v>
      </c>
      <c r="F35" s="235">
        <v>42</v>
      </c>
      <c r="G35" s="99">
        <v>0</v>
      </c>
      <c r="H35" s="97">
        <v>0</v>
      </c>
      <c r="I35" s="100">
        <f t="shared" si="2"/>
        <v>0</v>
      </c>
      <c r="J35" s="104"/>
      <c r="K35" s="98"/>
      <c r="L35" s="92"/>
      <c r="R35" s="249" t="s">
        <v>259</v>
      </c>
    </row>
    <row r="36" spans="1:18" s="93" customFormat="1" ht="11.25">
      <c r="A36" s="94" t="s">
        <v>303</v>
      </c>
      <c r="B36" s="171" t="s">
        <v>304</v>
      </c>
      <c r="C36" s="233">
        <f>+'Altri profili_2024_'!E36</f>
        <v>0</v>
      </c>
      <c r="D36" s="97"/>
      <c r="E36" s="234">
        <f t="shared" si="1"/>
        <v>0</v>
      </c>
      <c r="F36" s="235"/>
      <c r="G36" s="99"/>
      <c r="H36" s="97"/>
      <c r="I36" s="100">
        <f t="shared" si="2"/>
        <v>0</v>
      </c>
      <c r="J36" s="104"/>
      <c r="K36" s="98"/>
      <c r="L36" s="92"/>
      <c r="R36" s="249" t="s">
        <v>259</v>
      </c>
    </row>
    <row r="37" spans="1:18" s="93" customFormat="1" ht="11.25">
      <c r="A37" s="94" t="s">
        <v>305</v>
      </c>
      <c r="B37" s="171" t="s">
        <v>306</v>
      </c>
      <c r="C37" s="233">
        <f>+'Altri profili_2024_'!E37</f>
        <v>0</v>
      </c>
      <c r="D37" s="97"/>
      <c r="E37" s="234">
        <f t="shared" si="1"/>
        <v>0</v>
      </c>
      <c r="F37" s="235"/>
      <c r="G37" s="99"/>
      <c r="H37" s="97"/>
      <c r="I37" s="100">
        <f t="shared" si="2"/>
        <v>0</v>
      </c>
      <c r="J37" s="104"/>
      <c r="K37" s="98"/>
      <c r="L37" s="92"/>
      <c r="R37" s="249" t="s">
        <v>259</v>
      </c>
    </row>
    <row r="38" spans="1:18" s="93" customFormat="1" ht="11.25">
      <c r="A38" s="94" t="s">
        <v>307</v>
      </c>
      <c r="B38" s="171" t="s">
        <v>308</v>
      </c>
      <c r="C38" s="233">
        <f>+'Altri profili_2024_'!E38</f>
        <v>4</v>
      </c>
      <c r="D38" s="97">
        <v>0</v>
      </c>
      <c r="E38" s="234">
        <f t="shared" si="1"/>
        <v>4</v>
      </c>
      <c r="F38" s="235">
        <f>38*E38</f>
        <v>152</v>
      </c>
      <c r="G38" s="99"/>
      <c r="H38" s="97">
        <v>0</v>
      </c>
      <c r="I38" s="100">
        <f t="shared" si="2"/>
        <v>0</v>
      </c>
      <c r="J38" s="104"/>
      <c r="K38" s="98"/>
      <c r="L38" s="92"/>
      <c r="R38" s="249" t="s">
        <v>259</v>
      </c>
    </row>
    <row r="39" spans="1:18" s="93" customFormat="1" ht="11.25">
      <c r="A39" s="94" t="s">
        <v>309</v>
      </c>
      <c r="B39" s="171" t="s">
        <v>310</v>
      </c>
      <c r="C39" s="233">
        <f>+'Altri profili_2024_'!E39</f>
        <v>3</v>
      </c>
      <c r="D39" s="97"/>
      <c r="E39" s="234">
        <f t="shared" ref="E39:E70" si="3">+D39+C39</f>
        <v>3</v>
      </c>
      <c r="F39" s="235">
        <f>42*E39</f>
        <v>126</v>
      </c>
      <c r="G39" s="99">
        <v>1</v>
      </c>
      <c r="H39" s="97">
        <v>0</v>
      </c>
      <c r="I39" s="100">
        <f t="shared" ref="I39:I70" si="4">+G39-H39</f>
        <v>1</v>
      </c>
      <c r="J39" s="104"/>
      <c r="K39" s="98"/>
      <c r="L39" s="92"/>
      <c r="R39" s="249" t="s">
        <v>259</v>
      </c>
    </row>
    <row r="40" spans="1:18" s="93" customFormat="1" ht="11.25">
      <c r="A40" s="94" t="s">
        <v>311</v>
      </c>
      <c r="B40" s="171" t="s">
        <v>312</v>
      </c>
      <c r="C40" s="233">
        <f>+'Altri profili_2024_'!E40</f>
        <v>6</v>
      </c>
      <c r="D40" s="97"/>
      <c r="E40" s="234">
        <f t="shared" si="3"/>
        <v>6</v>
      </c>
      <c r="F40" s="235">
        <f>42*E40</f>
        <v>252</v>
      </c>
      <c r="G40" s="99">
        <v>0</v>
      </c>
      <c r="H40" s="97">
        <v>0</v>
      </c>
      <c r="I40" s="100">
        <f t="shared" si="4"/>
        <v>0</v>
      </c>
      <c r="J40" s="104"/>
      <c r="K40" s="98"/>
      <c r="L40" s="92"/>
      <c r="R40" s="249" t="s">
        <v>313</v>
      </c>
    </row>
    <row r="41" spans="1:18" s="93" customFormat="1" ht="11.25">
      <c r="A41" s="94" t="s">
        <v>314</v>
      </c>
      <c r="B41" s="171" t="s">
        <v>315</v>
      </c>
      <c r="C41" s="233">
        <f>+'Altri profili_2024_'!E41</f>
        <v>1</v>
      </c>
      <c r="D41" s="97"/>
      <c r="E41" s="234">
        <f t="shared" si="3"/>
        <v>1</v>
      </c>
      <c r="F41" s="235">
        <v>100</v>
      </c>
      <c r="G41" s="99">
        <v>1</v>
      </c>
      <c r="H41" s="97">
        <v>1</v>
      </c>
      <c r="I41" s="100">
        <f t="shared" si="4"/>
        <v>0</v>
      </c>
      <c r="J41" s="104"/>
      <c r="K41" s="98"/>
      <c r="L41" s="92"/>
      <c r="R41" s="249" t="s">
        <v>316</v>
      </c>
    </row>
    <row r="42" spans="1:18" s="93" customFormat="1" ht="11.25">
      <c r="A42" s="94" t="s">
        <v>317</v>
      </c>
      <c r="B42" s="171" t="s">
        <v>318</v>
      </c>
      <c r="C42" s="233">
        <f>+'Altri profili_2024_'!E42</f>
        <v>0</v>
      </c>
      <c r="D42" s="97"/>
      <c r="E42" s="234">
        <f t="shared" si="3"/>
        <v>0</v>
      </c>
      <c r="F42" s="235"/>
      <c r="G42" s="99"/>
      <c r="H42" s="97"/>
      <c r="I42" s="100">
        <f t="shared" si="4"/>
        <v>0</v>
      </c>
      <c r="J42" s="104"/>
      <c r="K42" s="98"/>
      <c r="L42" s="92"/>
      <c r="R42" s="249" t="s">
        <v>316</v>
      </c>
    </row>
    <row r="43" spans="1:18" s="93" customFormat="1" ht="11.25">
      <c r="A43" s="94" t="s">
        <v>319</v>
      </c>
      <c r="B43" s="171" t="s">
        <v>320</v>
      </c>
      <c r="C43" s="233">
        <f>+'Altri profili_2024_'!E43</f>
        <v>0</v>
      </c>
      <c r="D43" s="97"/>
      <c r="E43" s="234">
        <f t="shared" si="3"/>
        <v>0</v>
      </c>
      <c r="F43" s="235"/>
      <c r="G43" s="99"/>
      <c r="H43" s="97"/>
      <c r="I43" s="100">
        <f t="shared" si="4"/>
        <v>0</v>
      </c>
      <c r="J43" s="104"/>
      <c r="K43" s="98"/>
      <c r="L43" s="92"/>
      <c r="R43" s="249" t="s">
        <v>316</v>
      </c>
    </row>
    <row r="44" spans="1:18" s="93" customFormat="1" ht="11.25">
      <c r="A44" s="94" t="s">
        <v>321</v>
      </c>
      <c r="B44" s="171" t="s">
        <v>322</v>
      </c>
      <c r="C44" s="233">
        <f>+'Altri profili_2024_'!E44</f>
        <v>0</v>
      </c>
      <c r="D44" s="97"/>
      <c r="E44" s="234">
        <f t="shared" si="3"/>
        <v>0</v>
      </c>
      <c r="F44" s="235"/>
      <c r="G44" s="99"/>
      <c r="H44" s="97"/>
      <c r="I44" s="100">
        <f t="shared" si="4"/>
        <v>0</v>
      </c>
      <c r="J44" s="104"/>
      <c r="K44" s="98"/>
      <c r="L44" s="92"/>
      <c r="R44" s="249" t="s">
        <v>316</v>
      </c>
    </row>
    <row r="45" spans="1:18" s="93" customFormat="1" ht="11.25">
      <c r="A45" s="94" t="s">
        <v>323</v>
      </c>
      <c r="B45" s="171" t="s">
        <v>324</v>
      </c>
      <c r="C45" s="233">
        <f>+'Altri profili_2024_'!E45</f>
        <v>18</v>
      </c>
      <c r="D45" s="97">
        <v>2</v>
      </c>
      <c r="E45" s="234">
        <f t="shared" si="3"/>
        <v>20</v>
      </c>
      <c r="F45" s="235">
        <f>35*E45</f>
        <v>700</v>
      </c>
      <c r="G45" s="99">
        <v>0</v>
      </c>
      <c r="H45" s="97">
        <v>0</v>
      </c>
      <c r="I45" s="100">
        <f t="shared" si="4"/>
        <v>0</v>
      </c>
      <c r="J45" s="104"/>
      <c r="K45" s="98"/>
      <c r="L45" s="92"/>
      <c r="R45" s="249" t="s">
        <v>313</v>
      </c>
    </row>
    <row r="46" spans="1:18" s="93" customFormat="1" ht="11.25">
      <c r="A46" s="94" t="s">
        <v>325</v>
      </c>
      <c r="B46" s="171" t="s">
        <v>326</v>
      </c>
      <c r="C46" s="233">
        <f>+'Altri profili_2024_'!E46</f>
        <v>0</v>
      </c>
      <c r="D46" s="97"/>
      <c r="E46" s="234">
        <f t="shared" si="3"/>
        <v>0</v>
      </c>
      <c r="F46" s="235"/>
      <c r="G46" s="99"/>
      <c r="H46" s="97"/>
      <c r="I46" s="100">
        <f t="shared" si="4"/>
        <v>0</v>
      </c>
      <c r="J46" s="104"/>
      <c r="K46" s="98"/>
      <c r="L46" s="92"/>
      <c r="R46" s="249" t="s">
        <v>313</v>
      </c>
    </row>
    <row r="47" spans="1:18" s="93" customFormat="1" ht="11.25">
      <c r="A47" s="94" t="s">
        <v>327</v>
      </c>
      <c r="B47" s="171" t="s">
        <v>328</v>
      </c>
      <c r="C47" s="233">
        <f>+'Altri profili_2024_'!E47</f>
        <v>11</v>
      </c>
      <c r="D47" s="97">
        <v>1</v>
      </c>
      <c r="E47" s="234">
        <f t="shared" si="3"/>
        <v>12</v>
      </c>
      <c r="F47" s="235">
        <f>40*E47</f>
        <v>480</v>
      </c>
      <c r="G47" s="99">
        <v>0</v>
      </c>
      <c r="H47" s="97">
        <v>0</v>
      </c>
      <c r="I47" s="100">
        <f t="shared" si="4"/>
        <v>0</v>
      </c>
      <c r="J47" s="104"/>
      <c r="K47" s="98"/>
      <c r="L47" s="92"/>
      <c r="R47" s="249" t="s">
        <v>313</v>
      </c>
    </row>
    <row r="48" spans="1:18" s="93" customFormat="1" ht="11.25">
      <c r="A48" s="94" t="s">
        <v>329</v>
      </c>
      <c r="B48" s="171" t="s">
        <v>330</v>
      </c>
      <c r="C48" s="233">
        <f>+'Altri profili_2024_'!E48</f>
        <v>61</v>
      </c>
      <c r="D48" s="97">
        <v>10</v>
      </c>
      <c r="E48" s="234">
        <f t="shared" si="3"/>
        <v>71</v>
      </c>
      <c r="F48" s="235">
        <f>35*E48</f>
        <v>2485</v>
      </c>
      <c r="G48" s="99">
        <v>9</v>
      </c>
      <c r="H48" s="97">
        <v>0</v>
      </c>
      <c r="I48" s="100">
        <f t="shared" si="4"/>
        <v>9</v>
      </c>
      <c r="J48" s="104"/>
      <c r="K48" s="98"/>
      <c r="L48" s="92"/>
      <c r="R48" s="249" t="s">
        <v>313</v>
      </c>
    </row>
    <row r="49" spans="1:18" s="93" customFormat="1" ht="11.25">
      <c r="A49" s="94" t="s">
        <v>331</v>
      </c>
      <c r="B49" s="171" t="s">
        <v>332</v>
      </c>
      <c r="C49" s="233">
        <f>+'Altri profili_2024_'!E49</f>
        <v>0</v>
      </c>
      <c r="D49" s="97"/>
      <c r="E49" s="234">
        <f t="shared" si="3"/>
        <v>0</v>
      </c>
      <c r="F49" s="235"/>
      <c r="G49" s="99"/>
      <c r="H49" s="97"/>
      <c r="I49" s="100">
        <f t="shared" si="4"/>
        <v>0</v>
      </c>
      <c r="J49" s="104"/>
      <c r="K49" s="98"/>
      <c r="L49" s="92"/>
      <c r="R49" s="249" t="s">
        <v>313</v>
      </c>
    </row>
    <row r="50" spans="1:18" s="93" customFormat="1" ht="11.25">
      <c r="A50" s="94" t="s">
        <v>333</v>
      </c>
      <c r="B50" s="171" t="s">
        <v>334</v>
      </c>
      <c r="C50" s="233">
        <f>+'Altri profili_2024_'!E50</f>
        <v>0</v>
      </c>
      <c r="D50" s="97"/>
      <c r="E50" s="234">
        <f t="shared" si="3"/>
        <v>0</v>
      </c>
      <c r="F50" s="235"/>
      <c r="G50" s="99"/>
      <c r="H50" s="97"/>
      <c r="I50" s="100">
        <f t="shared" si="4"/>
        <v>0</v>
      </c>
      <c r="J50" s="104"/>
      <c r="K50" s="98"/>
      <c r="L50" s="92"/>
      <c r="R50" s="249" t="s">
        <v>313</v>
      </c>
    </row>
    <row r="51" spans="1:18" s="93" customFormat="1" ht="11.25">
      <c r="A51" s="94" t="s">
        <v>335</v>
      </c>
      <c r="B51" s="171" t="s">
        <v>336</v>
      </c>
      <c r="C51" s="233">
        <f>+'Altri profili_2024_'!E51</f>
        <v>0</v>
      </c>
      <c r="D51" s="97"/>
      <c r="E51" s="234">
        <f t="shared" si="3"/>
        <v>0</v>
      </c>
      <c r="F51" s="235"/>
      <c r="G51" s="99"/>
      <c r="H51" s="97"/>
      <c r="I51" s="100">
        <f t="shared" si="4"/>
        <v>0</v>
      </c>
      <c r="J51" s="104"/>
      <c r="K51" s="98"/>
      <c r="L51" s="92"/>
      <c r="R51" s="249" t="s">
        <v>337</v>
      </c>
    </row>
    <row r="52" spans="1:18" s="93" customFormat="1" ht="11.25">
      <c r="A52" s="94" t="s">
        <v>338</v>
      </c>
      <c r="B52" s="171" t="s">
        <v>339</v>
      </c>
      <c r="C52" s="233">
        <f>+'Altri profili_2024_'!E52</f>
        <v>0</v>
      </c>
      <c r="D52" s="97">
        <v>1</v>
      </c>
      <c r="E52" s="234">
        <f t="shared" si="3"/>
        <v>1</v>
      </c>
      <c r="F52" s="235">
        <v>100</v>
      </c>
      <c r="G52" s="99"/>
      <c r="H52" s="97"/>
      <c r="I52" s="100">
        <f t="shared" si="4"/>
        <v>0</v>
      </c>
      <c r="J52" s="104"/>
      <c r="K52" s="98"/>
      <c r="L52" s="92"/>
      <c r="R52" s="249" t="s">
        <v>340</v>
      </c>
    </row>
    <row r="53" spans="1:18" s="93" customFormat="1" ht="11.25">
      <c r="A53" s="94" t="s">
        <v>341</v>
      </c>
      <c r="B53" s="171" t="s">
        <v>342</v>
      </c>
      <c r="C53" s="233">
        <f>+'Altri profili_2024_'!E53</f>
        <v>1</v>
      </c>
      <c r="D53" s="97">
        <v>6</v>
      </c>
      <c r="E53" s="234">
        <f t="shared" si="3"/>
        <v>7</v>
      </c>
      <c r="F53" s="235">
        <f>90*E53</f>
        <v>630</v>
      </c>
      <c r="G53" s="99"/>
      <c r="H53" s="97">
        <v>0</v>
      </c>
      <c r="I53" s="100">
        <f t="shared" si="4"/>
        <v>0</v>
      </c>
      <c r="J53" s="104"/>
      <c r="K53" s="98"/>
      <c r="L53" s="92"/>
      <c r="R53" s="249" t="s">
        <v>340</v>
      </c>
    </row>
    <row r="54" spans="1:18" s="93" customFormat="1" ht="11.25">
      <c r="A54" s="94" t="s">
        <v>343</v>
      </c>
      <c r="B54" s="171" t="s">
        <v>344</v>
      </c>
      <c r="C54" s="233">
        <f>+'Altri profili_2024_'!E54</f>
        <v>34</v>
      </c>
      <c r="D54" s="97"/>
      <c r="E54" s="234">
        <f t="shared" si="3"/>
        <v>34</v>
      </c>
      <c r="F54" s="235">
        <f>90*E54</f>
        <v>3060</v>
      </c>
      <c r="G54" s="99"/>
      <c r="H54" s="97">
        <v>0</v>
      </c>
      <c r="I54" s="100">
        <f t="shared" si="4"/>
        <v>0</v>
      </c>
      <c r="J54" s="104"/>
      <c r="K54" s="98"/>
      <c r="L54" s="92"/>
      <c r="R54" s="249" t="s">
        <v>340</v>
      </c>
    </row>
    <row r="55" spans="1:18" s="93" customFormat="1" ht="11.25">
      <c r="A55" s="94" t="s">
        <v>345</v>
      </c>
      <c r="B55" s="171" t="s">
        <v>346</v>
      </c>
      <c r="C55" s="233">
        <f>+'Altri profili_2024_'!E55</f>
        <v>0</v>
      </c>
      <c r="D55" s="97"/>
      <c r="E55" s="234">
        <f t="shared" si="3"/>
        <v>0</v>
      </c>
      <c r="F55" s="235"/>
      <c r="G55" s="99"/>
      <c r="H55" s="97"/>
      <c r="I55" s="100">
        <f t="shared" si="4"/>
        <v>0</v>
      </c>
      <c r="J55" s="104"/>
      <c r="K55" s="98"/>
      <c r="L55" s="92"/>
      <c r="R55" s="249" t="s">
        <v>340</v>
      </c>
    </row>
    <row r="56" spans="1:18" s="93" customFormat="1" ht="11.25">
      <c r="A56" s="94" t="s">
        <v>347</v>
      </c>
      <c r="B56" s="171" t="s">
        <v>348</v>
      </c>
      <c r="C56" s="233">
        <f>+'Altri profili_2024_'!E56</f>
        <v>5</v>
      </c>
      <c r="D56" s="97"/>
      <c r="E56" s="234">
        <f t="shared" si="3"/>
        <v>5</v>
      </c>
      <c r="F56" s="235">
        <f>90*E56</f>
        <v>450</v>
      </c>
      <c r="G56" s="99"/>
      <c r="H56" s="97"/>
      <c r="I56" s="100">
        <f t="shared" si="4"/>
        <v>0</v>
      </c>
      <c r="J56" s="104"/>
      <c r="K56" s="98"/>
      <c r="L56" s="92"/>
      <c r="R56" s="249" t="s">
        <v>340</v>
      </c>
    </row>
    <row r="57" spans="1:18" s="93" customFormat="1" ht="11.25">
      <c r="A57" s="94" t="s">
        <v>349</v>
      </c>
      <c r="B57" s="171" t="s">
        <v>350</v>
      </c>
      <c r="C57" s="233">
        <f>+'Altri profili_2024_'!E57</f>
        <v>1</v>
      </c>
      <c r="D57" s="97"/>
      <c r="E57" s="234">
        <f t="shared" si="3"/>
        <v>1</v>
      </c>
      <c r="F57" s="235">
        <v>90</v>
      </c>
      <c r="G57" s="99">
        <v>1</v>
      </c>
      <c r="H57" s="97">
        <v>0</v>
      </c>
      <c r="I57" s="100">
        <f t="shared" si="4"/>
        <v>1</v>
      </c>
      <c r="J57" s="104"/>
      <c r="K57" s="98"/>
      <c r="L57" s="92"/>
      <c r="R57" s="249" t="s">
        <v>340</v>
      </c>
    </row>
    <row r="58" spans="1:18" s="93" customFormat="1" ht="11.25">
      <c r="A58" s="94" t="s">
        <v>351</v>
      </c>
      <c r="B58" s="171" t="s">
        <v>352</v>
      </c>
      <c r="C58" s="233">
        <f>+'Altri profili_2024_'!E58</f>
        <v>4</v>
      </c>
      <c r="D58" s="97"/>
      <c r="E58" s="234">
        <f t="shared" si="3"/>
        <v>4</v>
      </c>
      <c r="F58" s="235">
        <f>90*E58</f>
        <v>360</v>
      </c>
      <c r="G58" s="99">
        <v>0</v>
      </c>
      <c r="H58" s="97">
        <v>0</v>
      </c>
      <c r="I58" s="100">
        <f t="shared" si="4"/>
        <v>0</v>
      </c>
      <c r="J58" s="104"/>
      <c r="K58" s="98"/>
      <c r="L58" s="92"/>
      <c r="R58" s="249" t="s">
        <v>340</v>
      </c>
    </row>
    <row r="59" spans="1:18" s="93" customFormat="1" ht="11.25">
      <c r="A59" s="94" t="s">
        <v>353</v>
      </c>
      <c r="B59" s="171" t="s">
        <v>354</v>
      </c>
      <c r="C59" s="233">
        <f>+'Altri profili_2024_'!E59</f>
        <v>0</v>
      </c>
      <c r="D59" s="97"/>
      <c r="E59" s="234">
        <f t="shared" si="3"/>
        <v>0</v>
      </c>
      <c r="F59" s="235">
        <v>90</v>
      </c>
      <c r="G59" s="99">
        <v>1</v>
      </c>
      <c r="H59" s="97"/>
      <c r="I59" s="100">
        <f t="shared" si="4"/>
        <v>1</v>
      </c>
      <c r="J59" s="104"/>
      <c r="K59" s="98"/>
      <c r="L59" s="92"/>
      <c r="R59" s="249" t="s">
        <v>340</v>
      </c>
    </row>
    <row r="60" spans="1:18" s="93" customFormat="1" ht="11.25">
      <c r="A60" s="94" t="s">
        <v>355</v>
      </c>
      <c r="B60" s="171" t="s">
        <v>356</v>
      </c>
      <c r="C60" s="233">
        <f>+'Altri profili_2024_'!E60</f>
        <v>9</v>
      </c>
      <c r="D60" s="97"/>
      <c r="E60" s="234">
        <f t="shared" si="3"/>
        <v>9</v>
      </c>
      <c r="F60" s="235">
        <f>90*E60</f>
        <v>810</v>
      </c>
      <c r="G60" s="99"/>
      <c r="H60" s="97"/>
      <c r="I60" s="100">
        <f t="shared" si="4"/>
        <v>0</v>
      </c>
      <c r="J60" s="104"/>
      <c r="K60" s="98"/>
      <c r="L60" s="92"/>
      <c r="R60" s="249" t="s">
        <v>340</v>
      </c>
    </row>
    <row r="61" spans="1:18" s="93" customFormat="1" ht="11.25">
      <c r="A61" s="94" t="s">
        <v>357</v>
      </c>
      <c r="B61" s="171" t="s">
        <v>358</v>
      </c>
      <c r="C61" s="233">
        <f>+'Altri profili_2024_'!E61</f>
        <v>7</v>
      </c>
      <c r="D61" s="97"/>
      <c r="E61" s="234">
        <f t="shared" si="3"/>
        <v>7</v>
      </c>
      <c r="F61" s="235">
        <f>100*E61</f>
        <v>700</v>
      </c>
      <c r="G61" s="99">
        <v>8</v>
      </c>
      <c r="H61" s="97">
        <v>2</v>
      </c>
      <c r="I61" s="100">
        <f t="shared" si="4"/>
        <v>6</v>
      </c>
      <c r="J61" s="104"/>
      <c r="K61" s="98"/>
      <c r="L61" s="92"/>
      <c r="R61" s="249" t="s">
        <v>316</v>
      </c>
    </row>
    <row r="62" spans="1:18" s="93" customFormat="1" ht="11.25">
      <c r="A62" s="94" t="s">
        <v>359</v>
      </c>
      <c r="B62" s="171" t="s">
        <v>360</v>
      </c>
      <c r="C62" s="233">
        <f>+'Altri profili_2024_'!E62</f>
        <v>36</v>
      </c>
      <c r="D62" s="97">
        <v>2</v>
      </c>
      <c r="E62" s="234">
        <f t="shared" si="3"/>
        <v>38</v>
      </c>
      <c r="F62" s="235">
        <f>35*E62</f>
        <v>1330</v>
      </c>
      <c r="G62" s="99">
        <v>2</v>
      </c>
      <c r="H62" s="97">
        <v>0</v>
      </c>
      <c r="I62" s="100">
        <f t="shared" si="4"/>
        <v>2</v>
      </c>
      <c r="J62" s="104"/>
      <c r="K62" s="98"/>
      <c r="L62" s="92"/>
      <c r="R62" s="249" t="s">
        <v>361</v>
      </c>
    </row>
    <row r="63" spans="1:18" s="93" customFormat="1" ht="11.25">
      <c r="A63" s="94" t="s">
        <v>362</v>
      </c>
      <c r="B63" s="171" t="s">
        <v>363</v>
      </c>
      <c r="C63" s="233">
        <f>+'Altri profili_2024_'!E63</f>
        <v>17</v>
      </c>
      <c r="D63" s="97"/>
      <c r="E63" s="234">
        <f t="shared" si="3"/>
        <v>17</v>
      </c>
      <c r="F63" s="235">
        <f>30*E63</f>
        <v>510</v>
      </c>
      <c r="G63" s="99">
        <v>6</v>
      </c>
      <c r="H63" s="97">
        <v>0</v>
      </c>
      <c r="I63" s="100">
        <f t="shared" si="4"/>
        <v>6</v>
      </c>
      <c r="J63" s="104"/>
      <c r="K63" s="98"/>
      <c r="L63" s="92"/>
      <c r="R63" s="249" t="s">
        <v>361</v>
      </c>
    </row>
    <row r="64" spans="1:18" s="93" customFormat="1" ht="11.25">
      <c r="A64" s="94" t="s">
        <v>364</v>
      </c>
      <c r="B64" s="171" t="s">
        <v>365</v>
      </c>
      <c r="C64" s="233">
        <f>+'Altri profili_2024_'!E64</f>
        <v>58</v>
      </c>
      <c r="D64" s="97">
        <v>5</v>
      </c>
      <c r="E64" s="234">
        <f t="shared" si="3"/>
        <v>63</v>
      </c>
      <c r="F64" s="235">
        <f>33*E64</f>
        <v>2079</v>
      </c>
      <c r="G64" s="99">
        <v>10</v>
      </c>
      <c r="H64" s="97">
        <v>0</v>
      </c>
      <c r="I64" s="100">
        <f t="shared" si="4"/>
        <v>10</v>
      </c>
      <c r="J64" s="104"/>
      <c r="K64" s="98"/>
      <c r="L64" s="92"/>
      <c r="R64" s="249" t="s">
        <v>361</v>
      </c>
    </row>
    <row r="65" spans="1:18" s="93" customFormat="1" ht="11.25">
      <c r="A65" s="94" t="s">
        <v>366</v>
      </c>
      <c r="B65" s="171" t="s">
        <v>367</v>
      </c>
      <c r="C65" s="233">
        <f>+'Altri profili_2024_'!E65</f>
        <v>41</v>
      </c>
      <c r="D65" s="97">
        <v>4</v>
      </c>
      <c r="E65" s="234">
        <f t="shared" si="3"/>
        <v>45</v>
      </c>
      <c r="F65" s="235">
        <f>41*E65</f>
        <v>1845</v>
      </c>
      <c r="G65" s="99">
        <v>7</v>
      </c>
      <c r="H65" s="97"/>
      <c r="I65" s="100">
        <f t="shared" si="4"/>
        <v>7</v>
      </c>
      <c r="J65" s="104"/>
      <c r="K65" s="98"/>
      <c r="L65" s="92"/>
      <c r="R65" s="249" t="s">
        <v>361</v>
      </c>
    </row>
    <row r="66" spans="1:18" s="93" customFormat="1" ht="11.25">
      <c r="A66" s="94" t="s">
        <v>368</v>
      </c>
      <c r="B66" s="171" t="s">
        <v>369</v>
      </c>
      <c r="C66" s="233">
        <f>+'Altri profili_2024_'!E66</f>
        <v>0</v>
      </c>
      <c r="D66" s="97"/>
      <c r="E66" s="234">
        <f t="shared" si="3"/>
        <v>0</v>
      </c>
      <c r="F66" s="235"/>
      <c r="G66" s="99"/>
      <c r="H66" s="97"/>
      <c r="I66" s="100">
        <f t="shared" si="4"/>
        <v>0</v>
      </c>
      <c r="J66" s="104"/>
      <c r="K66" s="98"/>
      <c r="L66" s="92"/>
      <c r="R66" s="249" t="s">
        <v>361</v>
      </c>
    </row>
    <row r="67" spans="1:18" s="93" customFormat="1" ht="11.25">
      <c r="A67" s="94" t="s">
        <v>370</v>
      </c>
      <c r="B67" s="171" t="s">
        <v>334</v>
      </c>
      <c r="C67" s="233">
        <f>+'Altri profili_2024_'!E67</f>
        <v>0</v>
      </c>
      <c r="D67" s="97"/>
      <c r="E67" s="234">
        <f t="shared" si="3"/>
        <v>0</v>
      </c>
      <c r="F67" s="235"/>
      <c r="G67" s="99"/>
      <c r="H67" s="97"/>
      <c r="I67" s="100">
        <f t="shared" si="4"/>
        <v>0</v>
      </c>
      <c r="J67" s="104"/>
      <c r="K67" s="98"/>
      <c r="L67" s="92"/>
      <c r="R67" s="249" t="s">
        <v>361</v>
      </c>
    </row>
    <row r="68" spans="1:18" s="93" customFormat="1" ht="11.25">
      <c r="A68" s="94" t="s">
        <v>371</v>
      </c>
      <c r="B68" s="171" t="s">
        <v>372</v>
      </c>
      <c r="C68" s="233">
        <f>+'Altri profili_2024_'!E68</f>
        <v>0</v>
      </c>
      <c r="D68" s="97"/>
      <c r="E68" s="234">
        <f t="shared" si="3"/>
        <v>0</v>
      </c>
      <c r="F68" s="235"/>
      <c r="G68" s="99"/>
      <c r="H68" s="97"/>
      <c r="I68" s="100">
        <f t="shared" si="4"/>
        <v>0</v>
      </c>
      <c r="J68" s="104"/>
      <c r="K68" s="98"/>
      <c r="L68" s="92"/>
      <c r="R68" s="249" t="s">
        <v>361</v>
      </c>
    </row>
    <row r="69" spans="1:18" s="93" customFormat="1" ht="11.25">
      <c r="A69" s="94" t="s">
        <v>373</v>
      </c>
      <c r="B69" s="171" t="s">
        <v>374</v>
      </c>
      <c r="C69" s="233">
        <f>+'Altri profili_2024_'!E69</f>
        <v>0</v>
      </c>
      <c r="D69" s="97"/>
      <c r="E69" s="234">
        <f t="shared" si="3"/>
        <v>0</v>
      </c>
      <c r="F69" s="235"/>
      <c r="G69" s="99"/>
      <c r="H69" s="97"/>
      <c r="I69" s="100">
        <f t="shared" si="4"/>
        <v>0</v>
      </c>
      <c r="J69" s="104"/>
      <c r="K69" s="98"/>
      <c r="L69" s="92"/>
      <c r="R69" s="249" t="s">
        <v>361</v>
      </c>
    </row>
    <row r="70" spans="1:18" s="93" customFormat="1" ht="11.25">
      <c r="A70" s="94" t="s">
        <v>375</v>
      </c>
      <c r="B70" s="171" t="s">
        <v>376</v>
      </c>
      <c r="C70" s="233">
        <f>+'Altri profili_2024_'!E70</f>
        <v>0</v>
      </c>
      <c r="D70" s="97"/>
      <c r="E70" s="234">
        <f t="shared" si="3"/>
        <v>0</v>
      </c>
      <c r="F70" s="235"/>
      <c r="G70" s="99"/>
      <c r="H70" s="97"/>
      <c r="I70" s="100">
        <f t="shared" si="4"/>
        <v>0</v>
      </c>
      <c r="J70" s="104"/>
      <c r="K70" s="98"/>
      <c r="L70" s="92"/>
      <c r="R70" s="249" t="s">
        <v>361</v>
      </c>
    </row>
    <row r="71" spans="1:18" s="93" customFormat="1" ht="11.25">
      <c r="A71" s="94" t="s">
        <v>377</v>
      </c>
      <c r="B71" s="171" t="s">
        <v>378</v>
      </c>
      <c r="C71" s="233">
        <f>+'Altri profili_2024_'!E71</f>
        <v>0</v>
      </c>
      <c r="D71" s="97"/>
      <c r="E71" s="234">
        <f t="shared" ref="E71:E79" si="5">+D71+C71</f>
        <v>0</v>
      </c>
      <c r="F71" s="235"/>
      <c r="G71" s="99"/>
      <c r="H71" s="97"/>
      <c r="I71" s="100">
        <f t="shared" ref="I71:I79" si="6">+G71-H71</f>
        <v>0</v>
      </c>
      <c r="J71" s="104"/>
      <c r="K71" s="98"/>
      <c r="L71" s="92"/>
      <c r="R71" s="249" t="s">
        <v>361</v>
      </c>
    </row>
    <row r="72" spans="1:18" s="93" customFormat="1" ht="11.25">
      <c r="A72" s="94" t="s">
        <v>379</v>
      </c>
      <c r="B72" s="171" t="s">
        <v>380</v>
      </c>
      <c r="C72" s="233">
        <f>+'Altri profili_2024_'!E72</f>
        <v>3</v>
      </c>
      <c r="D72" s="97"/>
      <c r="E72" s="234">
        <f t="shared" si="5"/>
        <v>3</v>
      </c>
      <c r="F72" s="235">
        <f>40*3</f>
        <v>120</v>
      </c>
      <c r="G72" s="99">
        <v>0</v>
      </c>
      <c r="H72" s="97">
        <v>0</v>
      </c>
      <c r="I72" s="100">
        <f t="shared" si="6"/>
        <v>0</v>
      </c>
      <c r="J72" s="104"/>
      <c r="K72" s="98"/>
      <c r="L72" s="92"/>
      <c r="R72" s="249" t="s">
        <v>361</v>
      </c>
    </row>
    <row r="73" spans="1:18" s="93" customFormat="1" ht="11.25">
      <c r="A73" s="94" t="s">
        <v>381</v>
      </c>
      <c r="B73" s="171" t="s">
        <v>380</v>
      </c>
      <c r="C73" s="233">
        <f>+'Altri profili_2024_'!E73</f>
        <v>0</v>
      </c>
      <c r="D73" s="97"/>
      <c r="E73" s="234">
        <f t="shared" si="5"/>
        <v>0</v>
      </c>
      <c r="F73" s="235"/>
      <c r="G73" s="99"/>
      <c r="H73" s="97"/>
      <c r="I73" s="100">
        <f t="shared" si="6"/>
        <v>0</v>
      </c>
      <c r="J73" s="104"/>
      <c r="K73" s="98"/>
      <c r="L73" s="92"/>
      <c r="R73" s="249" t="s">
        <v>361</v>
      </c>
    </row>
    <row r="74" spans="1:18" s="93" customFormat="1" ht="11.25">
      <c r="A74" s="94" t="s">
        <v>382</v>
      </c>
      <c r="B74" s="171" t="s">
        <v>334</v>
      </c>
      <c r="C74" s="233">
        <f>+'Altri profili_2024_'!E74</f>
        <v>0</v>
      </c>
      <c r="D74" s="97"/>
      <c r="E74" s="234">
        <f t="shared" si="5"/>
        <v>0</v>
      </c>
      <c r="F74" s="235"/>
      <c r="G74" s="99"/>
      <c r="H74" s="97"/>
      <c r="I74" s="100">
        <f t="shared" si="6"/>
        <v>0</v>
      </c>
      <c r="J74" s="104"/>
      <c r="K74" s="98"/>
      <c r="L74" s="92"/>
      <c r="R74" s="249" t="s">
        <v>361</v>
      </c>
    </row>
    <row r="75" spans="1:18" s="93" customFormat="1" ht="11.25">
      <c r="A75" s="94" t="s">
        <v>383</v>
      </c>
      <c r="B75" s="171" t="s">
        <v>384</v>
      </c>
      <c r="C75" s="233">
        <f>+'Altri profili_2024_'!E75</f>
        <v>1</v>
      </c>
      <c r="D75" s="97"/>
      <c r="E75" s="234">
        <f t="shared" si="5"/>
        <v>1</v>
      </c>
      <c r="F75" s="235">
        <v>100</v>
      </c>
      <c r="G75" s="99">
        <v>2</v>
      </c>
      <c r="H75" s="97"/>
      <c r="I75" s="100">
        <f t="shared" si="6"/>
        <v>2</v>
      </c>
      <c r="J75" s="104"/>
      <c r="K75" s="98"/>
      <c r="L75" s="92"/>
      <c r="R75" s="249" t="s">
        <v>316</v>
      </c>
    </row>
    <row r="76" spans="1:18" s="93" customFormat="1" ht="11.25">
      <c r="A76" s="94" t="s">
        <v>385</v>
      </c>
      <c r="B76" s="171" t="s">
        <v>386</v>
      </c>
      <c r="C76" s="233">
        <f>+'Altri profili_2024_'!E76</f>
        <v>5</v>
      </c>
      <c r="D76" s="97"/>
      <c r="E76" s="234">
        <f t="shared" si="5"/>
        <v>5</v>
      </c>
      <c r="F76" s="235">
        <f>100*E76</f>
        <v>500</v>
      </c>
      <c r="G76" s="99"/>
      <c r="H76" s="97"/>
      <c r="I76" s="100">
        <f t="shared" si="6"/>
        <v>0</v>
      </c>
      <c r="J76" s="104"/>
      <c r="K76" s="98"/>
      <c r="L76" s="92"/>
      <c r="R76" s="249" t="s">
        <v>316</v>
      </c>
    </row>
    <row r="77" spans="1:18" s="93" customFormat="1" ht="11.25">
      <c r="A77" s="94" t="s">
        <v>387</v>
      </c>
      <c r="B77" s="171" t="s">
        <v>388</v>
      </c>
      <c r="C77" s="233">
        <f>+'Altri profili_2024_'!E77</f>
        <v>2</v>
      </c>
      <c r="D77" s="97"/>
      <c r="E77" s="234">
        <f t="shared" si="5"/>
        <v>2</v>
      </c>
      <c r="F77" s="235">
        <f>100*E77</f>
        <v>200</v>
      </c>
      <c r="G77" s="99"/>
      <c r="H77" s="97">
        <v>0</v>
      </c>
      <c r="I77" s="100">
        <f t="shared" si="6"/>
        <v>0</v>
      </c>
      <c r="J77" s="104"/>
      <c r="K77" s="98"/>
      <c r="L77" s="92"/>
      <c r="R77" s="249" t="s">
        <v>316</v>
      </c>
    </row>
    <row r="78" spans="1:18" s="93" customFormat="1" ht="11.25">
      <c r="A78" s="94" t="s">
        <v>389</v>
      </c>
      <c r="B78" s="171" t="s">
        <v>390</v>
      </c>
      <c r="C78" s="233">
        <f>+'Altri profili_2024_'!E78</f>
        <v>0</v>
      </c>
      <c r="D78" s="97"/>
      <c r="E78" s="234">
        <f t="shared" si="5"/>
        <v>0</v>
      </c>
      <c r="F78" s="235"/>
      <c r="G78" s="99"/>
      <c r="H78" s="97"/>
      <c r="I78" s="100">
        <f t="shared" si="6"/>
        <v>0</v>
      </c>
      <c r="J78" s="104"/>
      <c r="K78" s="98"/>
      <c r="L78" s="92"/>
      <c r="R78" s="249" t="s">
        <v>316</v>
      </c>
    </row>
    <row r="79" spans="1:18" s="93" customFormat="1" ht="11.25">
      <c r="A79" s="105" t="s">
        <v>391</v>
      </c>
      <c r="B79" s="172" t="s">
        <v>392</v>
      </c>
      <c r="C79" s="236">
        <f>+'Altri profili_2024_'!E79</f>
        <v>0</v>
      </c>
      <c r="D79" s="108"/>
      <c r="E79" s="237">
        <f t="shared" si="5"/>
        <v>0</v>
      </c>
      <c r="F79" s="238"/>
      <c r="G79" s="111"/>
      <c r="H79" s="108"/>
      <c r="I79" s="112">
        <f t="shared" si="6"/>
        <v>0</v>
      </c>
      <c r="J79" s="250"/>
      <c r="K79" s="110"/>
      <c r="L79" s="92"/>
      <c r="R79" s="249" t="s">
        <v>316</v>
      </c>
    </row>
    <row r="80" spans="1:18">
      <c r="C80" s="117"/>
      <c r="D80" s="117"/>
      <c r="E80" s="117"/>
      <c r="F80" s="117"/>
      <c r="G80" s="118"/>
      <c r="H80" s="117"/>
    </row>
  </sheetData>
  <mergeCells count="3">
    <mergeCell ref="A4:B4"/>
    <mergeCell ref="A5:B5"/>
    <mergeCell ref="A6:B6"/>
  </mergeCells>
  <conditionalFormatting sqref="G6:I79">
    <cfRule type="cellIs" dxfId="35" priority="2" operator="lessThan">
      <formula>0</formula>
    </cfRule>
  </conditionalFormatting>
  <conditionalFormatting sqref="H6:I79">
    <cfRule type="cellIs" dxfId="34" priority="3" operator="greaterThan">
      <formula>$G$6</formula>
    </cfRule>
  </conditionalFormatting>
  <pageMargins left="0.23611111111111099" right="0.23611111111111099" top="0.74791666666666701" bottom="0.74791666666666701" header="0.51180555555555496" footer="0.31527777777777799"/>
  <pageSetup paperSize="8" scale="78" firstPageNumber="0" orientation="landscape" r:id="rId1"/>
  <headerFooter>
    <oddFooter>&amp;R&amp;"Arial,Normale"&amp;10&amp;A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MJ23"/>
  <sheetViews>
    <sheetView showGridLines="0" zoomScale="110" zoomScaleNormal="110" workbookViewId="0">
      <selection activeCell="L18" sqref="L18"/>
    </sheetView>
  </sheetViews>
  <sheetFormatPr defaultColWidth="8.85546875" defaultRowHeight="15"/>
  <cols>
    <col min="1" max="1" width="8.85546875" style="25"/>
    <col min="2" max="2" width="11.5703125" style="25" hidden="1" customWidth="1"/>
    <col min="3" max="3" width="34.7109375" style="25" customWidth="1"/>
    <col min="4" max="6" width="13.7109375" style="25" customWidth="1"/>
    <col min="7" max="21" width="11.7109375" style="25" customWidth="1"/>
    <col min="22" max="1024" width="8.85546875" style="25"/>
  </cols>
  <sheetData>
    <row r="3" spans="1:6">
      <c r="C3" s="16" t="s">
        <v>451</v>
      </c>
    </row>
    <row r="4" spans="1:6">
      <c r="C4" s="16"/>
    </row>
    <row r="5" spans="1:6" s="93" customFormat="1" ht="15" customHeight="1">
      <c r="D5" s="373" t="s">
        <v>393</v>
      </c>
      <c r="E5" s="373"/>
      <c r="F5" s="373"/>
    </row>
    <row r="6" spans="1:6" ht="33" customHeight="1">
      <c r="C6" s="374" t="s">
        <v>394</v>
      </c>
      <c r="D6" s="375" t="s">
        <v>395</v>
      </c>
      <c r="E6" s="375"/>
      <c r="F6" s="375"/>
    </row>
    <row r="7" spans="1:6" ht="40.9" customHeight="1">
      <c r="A7" s="180"/>
      <c r="C7" s="374"/>
      <c r="D7" s="181" t="s">
        <v>440</v>
      </c>
      <c r="E7" s="182" t="s">
        <v>441</v>
      </c>
      <c r="F7" s="183" t="s">
        <v>396</v>
      </c>
    </row>
    <row r="8" spans="1:6" ht="13.9" customHeight="1">
      <c r="C8" s="184" t="s">
        <v>397</v>
      </c>
      <c r="D8" s="185"/>
      <c r="E8" s="185"/>
      <c r="F8" s="186"/>
    </row>
    <row r="9" spans="1:6" ht="13.9" customHeight="1">
      <c r="C9" s="187" t="s">
        <v>398</v>
      </c>
      <c r="D9" s="188">
        <f>+Medici_2025!G9</f>
        <v>78</v>
      </c>
      <c r="E9" s="189">
        <f>+Medici_2025!E9</f>
        <v>699</v>
      </c>
      <c r="F9" s="190">
        <f>+Medici_2025!F9</f>
        <v>70397</v>
      </c>
    </row>
    <row r="10" spans="1:6" ht="13.9" customHeight="1">
      <c r="B10" s="191"/>
      <c r="C10" s="197" t="s">
        <v>399</v>
      </c>
      <c r="D10" s="193">
        <f>+'Altri profili_2025_'!G51</f>
        <v>0</v>
      </c>
      <c r="E10" s="194">
        <f>+'Altri profili_2025_'!E51</f>
        <v>0</v>
      </c>
      <c r="F10" s="195">
        <f>+'Altri profili_2025_'!F51</f>
        <v>0</v>
      </c>
    </row>
    <row r="11" spans="1:6" ht="13.9" customHeight="1">
      <c r="B11" s="196" t="s">
        <v>340</v>
      </c>
      <c r="C11" s="197" t="s">
        <v>400</v>
      </c>
      <c r="D11" s="193">
        <f>+SUMIF('Altri profili_2025_'!$R$7:$R$79,$B11,'Altri profili_2025_'!$G$7:$G$79)</f>
        <v>2</v>
      </c>
      <c r="E11" s="194">
        <f>+SUMIF('Altri profili_2025_'!$R$7:$R$79,$B11,'Altri profili_2025_'!$E$7:$E$79)</f>
        <v>61</v>
      </c>
      <c r="F11" s="195">
        <f>+SUMIF('Altri profili_2025_'!$R$7:$R$79,$B11,'Altri profili_2025_'!$F$7:$F$79)</f>
        <v>5590</v>
      </c>
    </row>
    <row r="12" spans="1:6" ht="13.9" customHeight="1">
      <c r="B12" s="196" t="s">
        <v>316</v>
      </c>
      <c r="C12" s="198" t="s">
        <v>401</v>
      </c>
      <c r="D12" s="199">
        <f>+SUMIF('Altri profili_2025_'!$R$7:$R$79,$B12,'Altri profili_2025_'!$G$7:$G$79)</f>
        <v>11</v>
      </c>
      <c r="E12" s="200">
        <f>+SUMIF('Altri profili_2025_'!$R$7:$R$79,$B12,'Altri profili_2025_'!$E$7:$E$79)</f>
        <v>16</v>
      </c>
      <c r="F12" s="201">
        <f>+SUMIF('Altri profili_2025_'!$R$7:$R$79,$B12,'Altri profili_2025_'!$F$7:$F$79)</f>
        <v>1600</v>
      </c>
    </row>
    <row r="13" spans="1:6" ht="13.9" customHeight="1">
      <c r="B13" s="196"/>
      <c r="C13" s="202" t="s">
        <v>402</v>
      </c>
      <c r="D13" s="203">
        <f>+SUM(D9:D12)</f>
        <v>91</v>
      </c>
      <c r="E13" s="204">
        <f>+SUM(E9:E12)</f>
        <v>776</v>
      </c>
      <c r="F13" s="205">
        <f>+SUM(F9:F12)</f>
        <v>77587</v>
      </c>
    </row>
    <row r="14" spans="1:6" ht="13.9" customHeight="1">
      <c r="B14" s="196"/>
      <c r="C14" s="206" t="s">
        <v>403</v>
      </c>
      <c r="D14" s="207"/>
      <c r="E14" s="208"/>
      <c r="F14" s="209"/>
    </row>
    <row r="15" spans="1:6" ht="13.9" customHeight="1">
      <c r="B15" s="196" t="s">
        <v>243</v>
      </c>
      <c r="C15" s="187" t="s">
        <v>404</v>
      </c>
      <c r="D15" s="188">
        <f>+SUMIF('Altri profili_2025_'!$R$7:$R$79,$B15,'Altri profili_2025_'!$G$7:$G$79)</f>
        <v>50</v>
      </c>
      <c r="E15" s="189">
        <f>+SUMIF('Altri profili_2025_'!$R$7:$R$79,$B15,'Altri profili_2025_'!$E$7:$E$79)</f>
        <v>1295</v>
      </c>
      <c r="F15" s="190">
        <f>+SUMIF('Altri profili_2025_'!$R$7:$R$79,$B15,'Altri profili_2025_'!$F$7:$F$79)</f>
        <v>58275</v>
      </c>
    </row>
    <row r="16" spans="1:6" ht="13.9" customHeight="1">
      <c r="B16" s="196" t="s">
        <v>259</v>
      </c>
      <c r="C16" s="197" t="s">
        <v>405</v>
      </c>
      <c r="D16" s="193">
        <f>+SUMIF('Altri profili_2025_'!$R$7:$R$79,$B16,'Altri profili_2025_'!$G$7:$G$79)</f>
        <v>1</v>
      </c>
      <c r="E16" s="194">
        <f>+SUMIF('Altri profili_2025_'!$R$7:$R$79,$B16,'Altri profili_2025_'!$E$7:$E$79)</f>
        <v>230</v>
      </c>
      <c r="F16" s="195">
        <f>+SUMIF('Altri profili_2025_'!$R$7:$R$79,$B16,'Altri profili_2025_'!$F$7:$F$79)</f>
        <v>9641</v>
      </c>
    </row>
    <row r="17" spans="2:8" ht="13.9" customHeight="1">
      <c r="B17" s="196" t="s">
        <v>252</v>
      </c>
      <c r="C17" s="197" t="s">
        <v>406</v>
      </c>
      <c r="D17" s="193">
        <f>+SUMIF('Altri profili_2025_'!$R$7:$R$79,$B17,'Altri profili_2025_'!$G$7:$G$79)</f>
        <v>0</v>
      </c>
      <c r="E17" s="194">
        <f>+SUMIF('Altri profili_2025_'!$R$7:$R$79,$B17,'Altri profili_2025_'!$E$7:$E$79)</f>
        <v>285</v>
      </c>
      <c r="F17" s="195">
        <f>+SUMIF('Altri profili_2025_'!$R$7:$R$79,$B17,'Altri profili_2025_'!$F$7:$F$79)</f>
        <v>10200</v>
      </c>
    </row>
    <row r="18" spans="2:8" ht="13.9" customHeight="1">
      <c r="B18" s="196" t="s">
        <v>262</v>
      </c>
      <c r="C18" s="197" t="s">
        <v>407</v>
      </c>
      <c r="D18" s="193">
        <f>+SUMIF('Altri profili_2025_'!$R$7:$R$79,$B18,'Altri profili_2025_'!$G$7:$G$79)</f>
        <v>3</v>
      </c>
      <c r="E18" s="194">
        <f>+SUMIF('Altri profili_2025_'!$R$7:$R$79,$B18,'Altri profili_2025_'!$E$7:$E$79)</f>
        <v>34</v>
      </c>
      <c r="F18" s="195">
        <f>+SUMIF('Altri profili_2025_'!$R$7:$R$79,$B18,'Altri profili_2025_'!$F$7:$F$79)</f>
        <v>1452</v>
      </c>
    </row>
    <row r="19" spans="2:8" ht="13.9" customHeight="1">
      <c r="B19" s="196" t="s">
        <v>361</v>
      </c>
      <c r="C19" s="197" t="s">
        <v>408</v>
      </c>
      <c r="D19" s="193">
        <f>+SUMIF('Altri profili_2025_'!$R$7:$R$79,$B19,'Altri profili_2025_'!$G$7:$G$79)</f>
        <v>25</v>
      </c>
      <c r="E19" s="194">
        <f>+SUMIF('Altri profili_2025_'!$R$7:$R$79,$B19,'Altri profili_2025_'!$E$7:$E$79)</f>
        <v>166</v>
      </c>
      <c r="F19" s="195">
        <f>+SUMIF('Altri profili_2025_'!$R$7:$R$79,$B19,'Altri profili_2025_'!$F$7:$F$79)</f>
        <v>5884</v>
      </c>
    </row>
    <row r="20" spans="2:8" ht="13.9" customHeight="1">
      <c r="B20" s="196" t="s">
        <v>313</v>
      </c>
      <c r="C20" s="210" t="s">
        <v>409</v>
      </c>
      <c r="D20" s="211">
        <f>+SUMIF('Altri profili_2025_'!$R$7:$R$79,$B20,'Altri profili_2025_'!$G$7:$G$79)</f>
        <v>9</v>
      </c>
      <c r="E20" s="212">
        <f>+SUMIF('Altri profili_2025_'!$R$7:$R$79,$B20,'Altri profili_2025_'!$E$7:$E$79)</f>
        <v>109</v>
      </c>
      <c r="F20" s="213">
        <f>+SUMIF('Altri profili_2025_'!$R$7:$R$79,$B20,'Altri profili_2025_'!$F$7:$F$79)</f>
        <v>3917</v>
      </c>
    </row>
    <row r="21" spans="2:8" ht="13.9" customHeight="1">
      <c r="C21" s="214" t="s">
        <v>410</v>
      </c>
      <c r="D21" s="215">
        <f>+SUM(D15:D20)</f>
        <v>88</v>
      </c>
      <c r="E21" s="216">
        <f>+SUM(E15:E20)</f>
        <v>2119</v>
      </c>
      <c r="F21" s="217">
        <f>+SUM(F15:F20)</f>
        <v>89369</v>
      </c>
      <c r="H21" s="251"/>
    </row>
    <row r="22" spans="2:8" ht="13.9" customHeight="1">
      <c r="C22" s="218" t="s">
        <v>413</v>
      </c>
      <c r="D22" s="219">
        <f>+SUM(D21+D13)</f>
        <v>179</v>
      </c>
      <c r="E22" s="220">
        <f>+SUM(E21+E13)</f>
        <v>2895</v>
      </c>
      <c r="F22" s="221">
        <f>+SUM(F21+F13)</f>
        <v>166956</v>
      </c>
    </row>
    <row r="23" spans="2:8">
      <c r="C23" s="137"/>
      <c r="D23" s="93"/>
      <c r="E23" s="93"/>
      <c r="F23" s="93"/>
    </row>
  </sheetData>
  <mergeCells count="3">
    <mergeCell ref="D5:F5"/>
    <mergeCell ref="C6:C7"/>
    <mergeCell ref="D6:F6"/>
  </mergeCells>
  <pageMargins left="0.7" right="0.7" top="0.75" bottom="0.75" header="0.51180555555555496" footer="0.51180555555555496"/>
  <pageSetup paperSize="9" scale="47" firstPageNumber="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17</vt:i4>
      </vt:variant>
    </vt:vector>
  </HeadingPairs>
  <TitlesOfParts>
    <vt:vector size="32" baseType="lpstr">
      <vt:lpstr>Copertina</vt:lpstr>
      <vt:lpstr>Note alla compilazione</vt:lpstr>
      <vt:lpstr>app._aziende</vt:lpstr>
      <vt:lpstr>Medici_2024</vt:lpstr>
      <vt:lpstr>Altri profili_2024_</vt:lpstr>
      <vt:lpstr>Scheda_riepilogo_2024_</vt:lpstr>
      <vt:lpstr>Medici_2025</vt:lpstr>
      <vt:lpstr>Altri profili_2025_</vt:lpstr>
      <vt:lpstr>Scheda_riepilogo_2025_</vt:lpstr>
      <vt:lpstr>Medici_2026</vt:lpstr>
      <vt:lpstr>Altri profili_2026</vt:lpstr>
      <vt:lpstr>Scheda_riepilogo_2026</vt:lpstr>
      <vt:lpstr>Sintesi_Medici_2024-2026</vt:lpstr>
      <vt:lpstr>Sintesi_Altri profili_2024-2026</vt:lpstr>
      <vt:lpstr>Scheda_riepilogo_2024-2026_Dip</vt:lpstr>
      <vt:lpstr>'Altri profili_2024_'!Area_stampa</vt:lpstr>
      <vt:lpstr>'Altri profili_2025_'!Area_stampa</vt:lpstr>
      <vt:lpstr>'Altri profili_2026'!Area_stampa</vt:lpstr>
      <vt:lpstr>Copertina!Area_stampa</vt:lpstr>
      <vt:lpstr>Medici_2024!Area_stampa</vt:lpstr>
      <vt:lpstr>Medici_2025!Area_stampa</vt:lpstr>
      <vt:lpstr>Medici_2026!Area_stampa</vt:lpstr>
      <vt:lpstr>'Note alla compilazione'!Area_stampa</vt:lpstr>
      <vt:lpstr>Scheda_riepilogo_2024_!Area_stampa</vt:lpstr>
      <vt:lpstr>'Scheda_riepilogo_2024-2026_Dip'!Area_stampa</vt:lpstr>
      <vt:lpstr>Scheda_riepilogo_2025_!Area_stampa</vt:lpstr>
      <vt:lpstr>Scheda_riepilogo_2026!Area_stampa</vt:lpstr>
      <vt:lpstr>'Sintesi_Altri profili_2024-2026'!Area_stampa</vt:lpstr>
      <vt:lpstr>'Sintesi_Medici_2024-2026'!Area_stampa</vt:lpstr>
      <vt:lpstr>aziende</vt:lpstr>
      <vt:lpstr>Copertina!Z_CB3DB476_D57E_484D_833E_8DF7164B9DB8_.wvu.PrintArea</vt:lpstr>
      <vt:lpstr>Copertina!Z_CB3DB476_D57E_484D_833E_8DF7164B9DB8_.wvu.Rows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MARUSSICH FABIO</dc:creator>
  <dc:description/>
  <cp:lastModifiedBy>MARUSSICH FABIO</cp:lastModifiedBy>
  <cp:revision>3</cp:revision>
  <cp:lastPrinted>2022-07-04T10:00:23Z</cp:lastPrinted>
  <dcterms:created xsi:type="dcterms:W3CDTF">2017-06-22T13:49:36Z</dcterms:created>
  <dcterms:modified xsi:type="dcterms:W3CDTF">2024-01-02T14:29:13Z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